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ctrlProps/ctrlProp2.xml" ContentType="application/vnd.ms-excel.controlproperties+xml"/>
  <Override PartName="/docProps/core.xml" ContentType="application/vnd.openxmlformats-package.core-properties+xml"/>
  <Override PartName="/xl/ctrlProps/ctrlProp1.xml" ContentType="application/vnd.ms-excel.controlproperties+xml"/>
  <Override PartName="/xl/ctrlProps/ctrlProp9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120" windowWidth="18435" windowHeight="10980"/>
  </bookViews>
  <sheets>
    <sheet name="faceplate" sheetId="5" r:id="rId1"/>
    <sheet name="Old vs New" sheetId="6" r:id="rId2"/>
    <sheet name="old MCII ONC on" sheetId="3" r:id="rId3"/>
    <sheet name="old MCII ONC off" sheetId="2" r:id="rId4"/>
    <sheet name="new MCII" sheetId="1" r:id="rId5"/>
    <sheet name="tables" sheetId="4" state="hidden" r:id="rId6"/>
  </sheets>
  <definedNames>
    <definedName name="time">tables!$C$39:$F$42</definedName>
    <definedName name="time_list">tables!$E$39:$E$42</definedName>
    <definedName name="time_to">'new MCII'!$F$7</definedName>
    <definedName name="volume">tables!$C$2:$F$37</definedName>
    <definedName name="volume_from">'new MCII'!$F$4</definedName>
    <definedName name="volume_list">tables!$F$2:$F$37</definedName>
    <definedName name="volume_to">'new MCII'!$F$6</definedName>
  </definedNames>
  <calcPr calcId="145621"/>
</workbook>
</file>

<file path=xl/calcChain.xml><?xml version="1.0" encoding="utf-8"?>
<calcChain xmlns="http://schemas.openxmlformats.org/spreadsheetml/2006/main">
  <c r="I7" i="2" l="1"/>
  <c r="D14" i="2" s="1"/>
  <c r="D14" i="1"/>
  <c r="D11" i="1"/>
  <c r="F12" i="1" s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D14" i="4"/>
  <c r="D42" i="4"/>
  <c r="I7" i="1"/>
  <c r="D3" i="4"/>
  <c r="D2" i="4"/>
  <c r="B3" i="4"/>
  <c r="D5" i="4"/>
  <c r="D6" i="4"/>
  <c r="D11" i="4"/>
  <c r="D12" i="4"/>
  <c r="B12" i="4"/>
  <c r="D13" i="4"/>
  <c r="B13" i="4"/>
  <c r="D15" i="4"/>
  <c r="B15" i="4"/>
  <c r="D16" i="4"/>
  <c r="B16" i="4"/>
  <c r="D17" i="4"/>
  <c r="B17" i="4"/>
  <c r="D18" i="4"/>
  <c r="B18" i="4"/>
  <c r="D19" i="4"/>
  <c r="D20" i="4"/>
  <c r="B20" i="4"/>
  <c r="D27" i="4"/>
  <c r="D21" i="4"/>
  <c r="B21" i="4"/>
  <c r="D22" i="4"/>
  <c r="B22" i="4"/>
  <c r="D23" i="4"/>
  <c r="B23" i="4"/>
  <c r="D24" i="4"/>
  <c r="B24" i="4"/>
  <c r="D25" i="4"/>
  <c r="B25" i="4"/>
  <c r="D26" i="4"/>
  <c r="B26" i="4"/>
  <c r="D28" i="4"/>
  <c r="B28" i="4"/>
  <c r="D29" i="4"/>
  <c r="B29" i="4"/>
  <c r="D30" i="4"/>
  <c r="B30" i="4"/>
  <c r="D31" i="4"/>
  <c r="B31" i="4"/>
  <c r="D32" i="4"/>
  <c r="B32" i="4"/>
  <c r="D33" i="4"/>
  <c r="B33" i="4"/>
  <c r="D34" i="4"/>
  <c r="D35" i="4"/>
  <c r="B34" i="4"/>
  <c r="D12" i="1"/>
  <c r="D36" i="4"/>
  <c r="B35" i="4"/>
  <c r="D9" i="4"/>
  <c r="B11" i="4"/>
  <c r="D9" i="3"/>
  <c r="F34" i="3" s="1"/>
  <c r="I6" i="1"/>
  <c r="F9" i="2"/>
  <c r="I6" i="3"/>
  <c r="J6" i="1"/>
  <c r="E7" i="2"/>
  <c r="J4" i="2"/>
  <c r="J6" i="3"/>
  <c r="I4" i="2"/>
  <c r="D9" i="2"/>
  <c r="J4" i="1"/>
  <c r="J6" i="2"/>
  <c r="J4" i="3"/>
  <c r="E7" i="3"/>
  <c r="E7" i="1"/>
  <c r="I4" i="1"/>
  <c r="I6" i="2"/>
  <c r="F9" i="3"/>
  <c r="I4" i="3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E12" i="1"/>
  <c r="B19" i="4"/>
  <c r="F9" i="1"/>
  <c r="C12" i="1"/>
  <c r="D9" i="1"/>
  <c r="D10" i="4"/>
  <c r="B10" i="4"/>
  <c r="D8" i="4"/>
  <c r="B9" i="4"/>
  <c r="F11" i="2"/>
  <c r="D11" i="2"/>
  <c r="D12" i="2"/>
  <c r="G16" i="2"/>
  <c r="E45" i="2" s="1"/>
  <c r="F11" i="3"/>
  <c r="B36" i="4"/>
  <c r="D37" i="4"/>
  <c r="B37" i="4"/>
  <c r="D7" i="4"/>
  <c r="B7" i="4"/>
  <c r="B8" i="4"/>
  <c r="E16" i="2" l="1"/>
  <c r="F45" i="2"/>
  <c r="D18" i="2"/>
  <c r="D11" i="3"/>
  <c r="G16" i="3"/>
  <c r="D12" i="3"/>
  <c r="D17" i="2"/>
  <c r="G38" i="3" l="1"/>
  <c r="G36" i="3"/>
  <c r="F36" i="3"/>
  <c r="F35" i="3"/>
  <c r="G37" i="3"/>
  <c r="E34" i="3"/>
</calcChain>
</file>

<file path=xl/sharedStrings.xml><?xml version="1.0" encoding="utf-8"?>
<sst xmlns="http://schemas.openxmlformats.org/spreadsheetml/2006/main" count="530" uniqueCount="292">
  <si>
    <t>TOTAL</t>
  </si>
  <si>
    <t>RATE</t>
  </si>
  <si>
    <t>&lt;blank&gt;</t>
  </si>
  <si>
    <t xml:space="preserve">.  </t>
  </si>
  <si>
    <t xml:space="preserve">L  </t>
  </si>
  <si>
    <t>enter</t>
  </si>
  <si>
    <t>K-factor</t>
  </si>
  <si>
    <t>in pulses per</t>
  </si>
  <si>
    <t>volume unit</t>
  </si>
  <si>
    <t>display</t>
  </si>
  <si>
    <t>press button</t>
  </si>
  <si>
    <t>step</t>
  </si>
  <si>
    <t>ACCESS &amp; ENTER-STEP</t>
  </si>
  <si>
    <t>ENTER-STEP</t>
  </si>
  <si>
    <t>INCRE-MENT</t>
  </si>
  <si>
    <t>DEC. POINT</t>
  </si>
  <si>
    <t>decimal points</t>
  </si>
  <si>
    <t>for TOTAL</t>
  </si>
  <si>
    <t>0.00</t>
  </si>
  <si>
    <t>flowrate</t>
  </si>
  <si>
    <t>interval</t>
  </si>
  <si>
    <t>T/K</t>
  </si>
  <si>
    <t>for T/K</t>
  </si>
  <si>
    <t>T=1</t>
  </si>
  <si>
    <t>T=60</t>
  </si>
  <si>
    <t>T=3600</t>
  </si>
  <si>
    <t>for rate in seconds</t>
  </si>
  <si>
    <t>for rate in minutes</t>
  </si>
  <si>
    <t>for rate in hours</t>
  </si>
  <si>
    <t>max : 32767</t>
  </si>
  <si>
    <t>NEW MCII</t>
  </si>
  <si>
    <t>00000.0</t>
  </si>
  <si>
    <t>000.000</t>
  </si>
  <si>
    <t>ACCESS</t>
  </si>
  <si>
    <t>tot.Eng</t>
  </si>
  <si>
    <t>nn3</t>
  </si>
  <si>
    <t>quick flash</t>
  </si>
  <si>
    <t>8.8.8.8.8.8.8</t>
  </si>
  <si>
    <t>LitEr</t>
  </si>
  <si>
    <t>uSEr</t>
  </si>
  <si>
    <t>bbL</t>
  </si>
  <si>
    <t>gAL</t>
  </si>
  <si>
    <t>Pu.P.gAL</t>
  </si>
  <si>
    <t>last digit flashing</t>
  </si>
  <si>
    <t>rate display flashing</t>
  </si>
  <si>
    <t>next digit flashing</t>
  </si>
  <si>
    <t>123456</t>
  </si>
  <si>
    <t>rAt.Eng</t>
  </si>
  <si>
    <t>nn3.P.d</t>
  </si>
  <si>
    <t>Lit.P.nn</t>
  </si>
  <si>
    <t>Per.dAy</t>
  </si>
  <si>
    <t>Per.Hr</t>
  </si>
  <si>
    <t>Pr.nnin</t>
  </si>
  <si>
    <t>Per.SEC</t>
  </si>
  <si>
    <t>b.P.d</t>
  </si>
  <si>
    <t>g.P.nn</t>
  </si>
  <si>
    <t>m3/day</t>
  </si>
  <si>
    <t>litres/min</t>
  </si>
  <si>
    <t>user/day</t>
  </si>
  <si>
    <t>user/hour</t>
  </si>
  <si>
    <t>user/min</t>
  </si>
  <si>
    <t>user/sec</t>
  </si>
  <si>
    <t>BBL/day</t>
  </si>
  <si>
    <t>Gal/min</t>
  </si>
  <si>
    <t>PULSE</t>
  </si>
  <si>
    <t>OFF</t>
  </si>
  <si>
    <t>100.000</t>
  </si>
  <si>
    <t>10.000</t>
  </si>
  <si>
    <t>1.000</t>
  </si>
  <si>
    <t>0.100</t>
  </si>
  <si>
    <t>0.010</t>
  </si>
  <si>
    <t>0.001</t>
  </si>
  <si>
    <t>CodE</t>
  </si>
  <si>
    <t>no</t>
  </si>
  <si>
    <t>yES</t>
  </si>
  <si>
    <t>SAVing</t>
  </si>
  <si>
    <t>units</t>
  </si>
  <si>
    <t>pulse enable</t>
  </si>
  <si>
    <t>and divisor</t>
  </si>
  <si>
    <t>enter lockout</t>
  </si>
  <si>
    <t>code</t>
  </si>
  <si>
    <t>Reset to</t>
  </si>
  <si>
    <t>start over</t>
  </si>
  <si>
    <t>DEC.POINT</t>
  </si>
  <si>
    <t>set decimal</t>
  </si>
  <si>
    <t>points for</t>
  </si>
  <si>
    <t>000000.</t>
  </si>
  <si>
    <t>0000.00</t>
  </si>
  <si>
    <t>"rate</t>
  </si>
  <si>
    <t>multiplier"</t>
  </si>
  <si>
    <t>=T/K</t>
  </si>
  <si>
    <t>enter # of 0's</t>
  </si>
  <si>
    <t>to tack onto the</t>
  </si>
  <si>
    <t>of the entered</t>
  </si>
  <si>
    <t>Rate in volume/day</t>
  </si>
  <si>
    <t>OLD MCII - with ONC jumper ON (one number calibration, Rate in volume/day)</t>
  </si>
  <si>
    <t>paints a dot on</t>
  </si>
  <si>
    <t>the flow total</t>
  </si>
  <si>
    <t>OLD MCII - with ONC jumper OFF (one number calibration OFF)</t>
  </si>
  <si>
    <t>VOLUME</t>
  </si>
  <si>
    <t>Supplied K Factor</t>
  </si>
  <si>
    <t xml:space="preserve">pulses / </t>
  </si>
  <si>
    <t>Miln M3</t>
  </si>
  <si>
    <t>E6M3</t>
  </si>
  <si>
    <t>Thsd M3</t>
  </si>
  <si>
    <t>E3M3</t>
  </si>
  <si>
    <t>Cubic meter</t>
  </si>
  <si>
    <t>M3</t>
  </si>
  <si>
    <t>litre</t>
  </si>
  <si>
    <t>cm3</t>
  </si>
  <si>
    <t>ml (cc)</t>
  </si>
  <si>
    <t>Miln FT3</t>
  </si>
  <si>
    <t>MMCF</t>
  </si>
  <si>
    <t>Thsd FT3</t>
  </si>
  <si>
    <t>MCF</t>
  </si>
  <si>
    <t>Cubic Foot</t>
  </si>
  <si>
    <t>CF</t>
  </si>
  <si>
    <t>Cubic Yard</t>
  </si>
  <si>
    <t>YD3</t>
  </si>
  <si>
    <t>Cubic Inch</t>
  </si>
  <si>
    <t>IN3</t>
  </si>
  <si>
    <t>Barrel</t>
  </si>
  <si>
    <t>BBL</t>
  </si>
  <si>
    <t>US Firkin</t>
  </si>
  <si>
    <t>USfirkin</t>
  </si>
  <si>
    <t>US Gallon</t>
  </si>
  <si>
    <t>USGal</t>
  </si>
  <si>
    <t>US Quart</t>
  </si>
  <si>
    <t>USquart</t>
  </si>
  <si>
    <t>US Pint</t>
  </si>
  <si>
    <t>USpint</t>
  </si>
  <si>
    <t>US Cup</t>
  </si>
  <si>
    <t>UScup</t>
  </si>
  <si>
    <t>US Ounce</t>
  </si>
  <si>
    <t>USoz</t>
  </si>
  <si>
    <t>Tablespoon</t>
  </si>
  <si>
    <t>TBSP</t>
  </si>
  <si>
    <t>Teaspoon</t>
  </si>
  <si>
    <t>TSP</t>
  </si>
  <si>
    <t>Seam</t>
  </si>
  <si>
    <t>IMPseam</t>
  </si>
  <si>
    <t>Imperial Barrel</t>
  </si>
  <si>
    <t>IMPbarrel</t>
  </si>
  <si>
    <t>Imperial Bag</t>
  </si>
  <si>
    <t>IMPbag</t>
  </si>
  <si>
    <t>Strike</t>
  </si>
  <si>
    <t>IMPstrike</t>
  </si>
  <si>
    <t>Imperial Firkin</t>
  </si>
  <si>
    <t>IMPfirkin</t>
  </si>
  <si>
    <t>Imperial Bushel</t>
  </si>
  <si>
    <t>IMPbushel</t>
  </si>
  <si>
    <t>Imperial Gallon</t>
  </si>
  <si>
    <t>IMPgal</t>
  </si>
  <si>
    <t>Imperial Quart</t>
  </si>
  <si>
    <t>IMPquart</t>
  </si>
  <si>
    <t>Imperial Pint</t>
  </si>
  <si>
    <t>IMPpint</t>
  </si>
  <si>
    <t>Imperial Gill</t>
  </si>
  <si>
    <t>IMPgill</t>
  </si>
  <si>
    <t>Imperial Ounce</t>
  </si>
  <si>
    <t>IMPoz</t>
  </si>
  <si>
    <t>US Bushel</t>
  </si>
  <si>
    <t>USbushel</t>
  </si>
  <si>
    <t xml:space="preserve">US Peck </t>
  </si>
  <si>
    <t>USpeck</t>
  </si>
  <si>
    <t>US Gallon Dry</t>
  </si>
  <si>
    <t>USgal dry</t>
  </si>
  <si>
    <t>US Quart Dry</t>
  </si>
  <si>
    <t>USquart dry</t>
  </si>
  <si>
    <t>US Pint Dry</t>
  </si>
  <si>
    <t>USpint dry</t>
  </si>
  <si>
    <t>US Ounce Dry</t>
  </si>
  <si>
    <t>USoz dry</t>
  </si>
  <si>
    <t>TIME</t>
  </si>
  <si>
    <t>/sec</t>
  </si>
  <si>
    <t>/min</t>
  </si>
  <si>
    <t>/hr</t>
  </si>
  <si>
    <t>/day</t>
  </si>
  <si>
    <t>conversion factors to M3</t>
  </si>
  <si>
    <t>Requested Display Volume Units</t>
  </si>
  <si>
    <t>Requested Display Rate Units</t>
  </si>
  <si>
    <t>second</t>
  </si>
  <si>
    <t>minute</t>
  </si>
  <si>
    <t>hour</t>
  </si>
  <si>
    <t>day</t>
  </si>
  <si>
    <t>Enter Rate Multiplier</t>
  </si>
  <si>
    <t>time factor, T</t>
  </si>
  <si>
    <t>ONC</t>
  </si>
  <si>
    <t>RST</t>
  </si>
  <si>
    <t>CAL</t>
  </si>
  <si>
    <t>o  o</t>
  </si>
  <si>
    <t xml:space="preserve"> &lt; -- Calibration enabled</t>
  </si>
  <si>
    <t xml:space="preserve"> &lt; -- One Number Calibration disabled</t>
  </si>
  <si>
    <t xml:space="preserve"> &lt; -- Resetting totals disabled</t>
  </si>
  <si>
    <t>JUMPERS</t>
  </si>
  <si>
    <t>(aka Divisor)</t>
  </si>
  <si>
    <t>check</t>
  </si>
  <si>
    <t>press and hold VIEW DIV</t>
  </si>
  <si>
    <t>DP slide switch</t>
  </si>
  <si>
    <t>on FQ110)</t>
  </si>
  <si>
    <t>(like the</t>
  </si>
  <si>
    <t>Enter K Factor (Divisor)</t>
  </si>
  <si>
    <t>Calculated Rate Multipler</t>
  </si>
  <si>
    <t>rate mult digit(s)</t>
  </si>
  <si>
    <t>US gallons</t>
  </si>
  <si>
    <t>cubic meters</t>
  </si>
  <si>
    <t>litres</t>
  </si>
  <si>
    <t>Ent.diU</t>
  </si>
  <si>
    <t xml:space="preserve">. </t>
  </si>
  <si>
    <t xml:space="preserve">.   </t>
  </si>
  <si>
    <t>000000</t>
  </si>
  <si>
    <t>user-defined ---------&gt;&gt;&gt;&gt;&gt;</t>
  </si>
  <si>
    <t>Enter the diviser</t>
  </si>
  <si>
    <t>use INCRE-MENT to select each digit</t>
  </si>
  <si>
    <t>engineering</t>
  </si>
  <si>
    <t>(divisor)</t>
  </si>
  <si>
    <t>ENTER-STEP,INCRE-MENT</t>
  </si>
  <si>
    <r>
      <t>12345</t>
    </r>
    <r>
      <rPr>
        <b/>
        <u/>
        <sz val="10"/>
        <rFont val="Courier New"/>
        <family val="3"/>
      </rPr>
      <t>6</t>
    </r>
  </si>
  <si>
    <r>
      <t>12345.</t>
    </r>
    <r>
      <rPr>
        <b/>
        <u/>
        <sz val="10"/>
        <rFont val="Courier New"/>
        <family val="3"/>
      </rPr>
      <t>6</t>
    </r>
  </si>
  <si>
    <r>
      <t>12345.</t>
    </r>
    <r>
      <rPr>
        <b/>
        <u/>
        <sz val="10"/>
        <rFont val="Courier New"/>
        <family val="3"/>
      </rPr>
      <t>7</t>
    </r>
  </si>
  <si>
    <r>
      <t>123</t>
    </r>
    <r>
      <rPr>
        <b/>
        <u/>
        <sz val="10"/>
        <rFont val="Courier New"/>
        <family val="3"/>
      </rPr>
      <t>5</t>
    </r>
    <r>
      <rPr>
        <b/>
        <sz val="10"/>
        <rFont val="Courier New"/>
        <family val="3"/>
      </rPr>
      <t>6.7</t>
    </r>
  </si>
  <si>
    <r>
      <t>12</t>
    </r>
    <r>
      <rPr>
        <b/>
        <u/>
        <sz val="10"/>
        <rFont val="Courier New"/>
        <family val="3"/>
      </rPr>
      <t>4</t>
    </r>
    <r>
      <rPr>
        <b/>
        <sz val="10"/>
        <rFont val="Courier New"/>
        <family val="3"/>
      </rPr>
      <t>56.7</t>
    </r>
  </si>
  <si>
    <r>
      <t>1</t>
    </r>
    <r>
      <rPr>
        <b/>
        <u/>
        <sz val="10"/>
        <rFont val="Courier New"/>
        <family val="3"/>
      </rPr>
      <t>3</t>
    </r>
    <r>
      <rPr>
        <b/>
        <sz val="10"/>
        <rFont val="Courier New"/>
        <family val="3"/>
      </rPr>
      <t>456.7</t>
    </r>
  </si>
  <si>
    <r>
      <t>2</t>
    </r>
    <r>
      <rPr>
        <b/>
        <sz val="10"/>
        <rFont val="Courier New"/>
        <family val="3"/>
      </rPr>
      <t>3456.7</t>
    </r>
  </si>
  <si>
    <r>
      <t>1234</t>
    </r>
    <r>
      <rPr>
        <b/>
        <u/>
        <sz val="10"/>
        <rFont val="Courier New"/>
        <family val="3"/>
      </rPr>
      <t>6</t>
    </r>
    <r>
      <rPr>
        <b/>
        <sz val="10"/>
        <rFont val="Courier New"/>
        <family val="3"/>
      </rPr>
      <t>.7</t>
    </r>
  </si>
  <si>
    <t>Prog.no</t>
  </si>
  <si>
    <t>5</t>
  </si>
  <si>
    <r>
      <t>4</t>
    </r>
    <r>
      <rPr>
        <b/>
        <sz val="10"/>
        <rFont val="Courier New"/>
        <family val="3"/>
      </rPr>
      <t>5</t>
    </r>
  </si>
  <si>
    <r>
      <t>3</t>
    </r>
    <r>
      <rPr>
        <b/>
        <sz val="10"/>
        <rFont val="Courier New"/>
        <family val="3"/>
      </rPr>
      <t>45</t>
    </r>
  </si>
  <si>
    <r>
      <t>2</t>
    </r>
    <r>
      <rPr>
        <b/>
        <sz val="10"/>
        <rFont val="Courier New"/>
        <family val="3"/>
      </rPr>
      <t>345</t>
    </r>
  </si>
  <si>
    <r>
      <t>1</t>
    </r>
    <r>
      <rPr>
        <b/>
        <sz val="10"/>
        <rFont val="Courier New"/>
        <family val="3"/>
      </rPr>
      <t>2345</t>
    </r>
  </si>
  <si>
    <t>0</t>
  </si>
  <si>
    <t xml:space="preserve"> &lt; -- One Number Calibration enabled (rate in Vol/Day)</t>
  </si>
  <si>
    <t>Enter K-Factor (Divisor)</t>
  </si>
  <si>
    <t>Select K-factor scaling</t>
  </si>
  <si>
    <t>Select Rate Multiplier scaling</t>
  </si>
  <si>
    <t>Procedure:</t>
  </si>
  <si>
    <t>in p/USG</t>
  </si>
  <si>
    <t>Converted K Factor (Divisor)</t>
  </si>
  <si>
    <r>
      <t>Select Rate units (</t>
    </r>
    <r>
      <rPr>
        <b/>
        <sz val="10"/>
        <rFont val="Courier New"/>
        <family val="3"/>
      </rPr>
      <t>rAt.Eng</t>
    </r>
    <r>
      <rPr>
        <b/>
        <sz val="10"/>
        <rFont val="Arial"/>
        <family val="2"/>
      </rPr>
      <t>)</t>
    </r>
  </si>
  <si>
    <r>
      <t>Select Total units (</t>
    </r>
    <r>
      <rPr>
        <b/>
        <sz val="10"/>
        <rFont val="Courier New"/>
        <family val="3"/>
      </rPr>
      <t>tot.Eng</t>
    </r>
    <r>
      <rPr>
        <b/>
        <sz val="10"/>
        <rFont val="Arial"/>
        <family val="2"/>
      </rPr>
      <t>)</t>
    </r>
  </si>
  <si>
    <t>MC-II Old Version</t>
  </si>
  <si>
    <t>MC-II New Version</t>
  </si>
  <si>
    <t>Serial Number below:</t>
  </si>
  <si>
    <t>292,000 for CSA Units</t>
  </si>
  <si>
    <t>235,000 for non-CSA Units</t>
  </si>
  <si>
    <t>1 Button Reset (Takes up to 3 seconds)</t>
  </si>
  <si>
    <t>Serial Number above:</t>
  </si>
  <si>
    <t>Calibration requires button to be pressed for each increment of digit.</t>
  </si>
  <si>
    <t>Requires only entry of Cal Factor for most applications.  User defined will require divisor entry.</t>
  </si>
  <si>
    <t>Divisor range of 1 to 32,767
(Even numbers only)</t>
  </si>
  <si>
    <t>4 Button Reset (Takes up to 2 seconds)</t>
  </si>
  <si>
    <t>Total Decimal Point can be adjusted up to 3 places anytime.</t>
  </si>
  <si>
    <t>No 0 suppression (Good way to distinguish between old and new units)</t>
  </si>
  <si>
    <t>Total can be preset.</t>
  </si>
  <si>
    <t>Mount and gasket have been changed.</t>
  </si>
  <si>
    <t>Has security password of up to 4 digits.
Bypass can be obtained if password is lost.</t>
  </si>
  <si>
    <t>LCD Contrast can be adjusted.</t>
  </si>
  <si>
    <t>When entering calibration numbers button can be held down to cycle through digits.</t>
  </si>
  <si>
    <t>Access button by itself will take you to Cal mode.</t>
  </si>
  <si>
    <t>Access button by itself does not do anything. Needs Access &amp; Enter to get to Calibrate.</t>
  </si>
  <si>
    <t>LCD Contrast is preset and not adjustable.</t>
  </si>
  <si>
    <t>If battery is removed calibration and totals are lost.</t>
  </si>
  <si>
    <t>Security is by use of Jumpers.</t>
  </si>
  <si>
    <t>Enclosure would crack and leak.</t>
  </si>
  <si>
    <t>Total Decimal Point set at Divisor entry by changing the divisor.</t>
  </si>
  <si>
    <t>0 suppression for leading zeros.</t>
  </si>
  <si>
    <t>To preset totals requires a signal generator and time.</t>
  </si>
  <si>
    <t>Requires Divisor and rate multiplier calculation and entry.</t>
  </si>
  <si>
    <t>Cal Factor/Divisor range:
0.001 to 999,999.</t>
  </si>
  <si>
    <t>Retains calibration if battery is removed.
Will retain totals, if the battery is removed, up to the last time the enter button is pressed.</t>
  </si>
  <si>
    <t>Pulse output adjustment is on circuit board and is only /1, /10 or /100.</t>
  </si>
  <si>
    <t>Pulse output is adjusted from keypad and with choices of 0.001, 0.01, 0.1, 1, 10 and 100.</t>
  </si>
  <si>
    <t>&lt;- for Calculated Rate Multipler under 3276.7</t>
  </si>
  <si>
    <t>&lt;- for Calculated Rate Multipler under 327.67</t>
  </si>
  <si>
    <t>&lt;- for Calculated Rate Multipler under 32.767</t>
  </si>
  <si>
    <t>&lt;- for Converted K Factor (Divisor) over 32767</t>
  </si>
  <si>
    <t>&lt;- for Converted K Factor (Divisor) over 327670</t>
  </si>
  <si>
    <t>&lt;- for Converted K Factor (Divisor) over 3276700</t>
  </si>
  <si>
    <t>add note about ONC showing rate check too high when K-factor digits = 2 or more</t>
  </si>
  <si>
    <t>divide total display check by the number of K-factor digits</t>
  </si>
  <si>
    <t>original</t>
  </si>
  <si>
    <t>MCII programming.xls</t>
  </si>
  <si>
    <t>MCII programming_r2.xls</t>
  </si>
  <si>
    <t>replace combo boxes for Excel 2010 (older boxes showed the selected units upside down)</t>
  </si>
  <si>
    <t>MCII programming_r3.xls</t>
  </si>
  <si>
    <t>Old Style</t>
  </si>
  <si>
    <t>NEW STYLE</t>
  </si>
  <si>
    <t>OLD STYLE</t>
  </si>
  <si>
    <t>REVISIONS</t>
  </si>
  <si>
    <t>MCII programming_r3a.xls</t>
  </si>
  <si>
    <t>replace pictures on faceplate tab with NuFlo instead of Halibuton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</si>
</sst>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8" formatCode="0.000"/>
    <numFmt numFmtId="169" formatCode="0.00000"/>
    <numFmt numFmtId="170" formatCode="0.000000"/>
    <numFmt numFmtId="171" formatCode="0.0000000"/>
    <numFmt numFmtId="172" formatCode="0.00000000"/>
    <numFmt numFmtId="174" formatCode="0.0000000000"/>
    <numFmt numFmtId="176" formatCode="0.000000000000"/>
    <numFmt numFmtId="177" formatCode="0.0000000000000"/>
    <numFmt numFmtId="179" formatCode="yyyy/mmm/dd"/>
  </numFmts>
  <fonts count="13">
    <font>
      <sz val="10"/>
      <name val="Arial"/>
    </font>
    <font>
      <sz val="8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Courier New"/>
      <family val="3"/>
    </font>
    <font>
      <b/>
      <u/>
      <sz val="10"/>
      <name val="Courier New"/>
      <family val="3"/>
    </font>
    <font>
      <b/>
      <u/>
      <sz val="24"/>
      <name val="NewCenturySchlbk"/>
      <family val="1"/>
    </font>
    <font>
      <b/>
      <sz val="24"/>
      <name val="NewCenturySchlbk"/>
      <family val="1"/>
    </font>
    <font>
      <u/>
      <sz val="14"/>
      <name val="NewCenturySchlbk"/>
      <family val="1"/>
    </font>
    <font>
      <sz val="14"/>
      <name val="NewCenturySchlbk"/>
      <family val="1"/>
    </font>
    <font>
      <sz val="10"/>
      <color indexed="10"/>
      <name val="Arial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" xfId="0" applyBorder="1"/>
    <xf numFmtId="0" fontId="2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>
      <alignment horizontal="right"/>
    </xf>
    <xf numFmtId="0" fontId="0" fillId="0" borderId="3" xfId="0" applyBorder="1"/>
    <xf numFmtId="0" fontId="3" fillId="0" borderId="4" xfId="0" applyFont="1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3" fillId="0" borderId="0" xfId="0" applyNumberFormat="1" applyFont="1" applyBorder="1"/>
    <xf numFmtId="0" fontId="0" fillId="0" borderId="6" xfId="0" applyBorder="1"/>
    <xf numFmtId="0" fontId="3" fillId="0" borderId="0" xfId="0" applyFont="1" applyBorder="1"/>
    <xf numFmtId="0" fontId="0" fillId="0" borderId="7" xfId="0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3" fillId="0" borderId="1" xfId="0" applyFont="1" applyBorder="1"/>
    <xf numFmtId="0" fontId="0" fillId="0" borderId="8" xfId="0" applyBorder="1"/>
    <xf numFmtId="177" fontId="3" fillId="0" borderId="0" xfId="0" applyNumberFormat="1" applyFont="1" applyBorder="1"/>
    <xf numFmtId="174" fontId="3" fillId="0" borderId="0" xfId="0" applyNumberFormat="1" applyFont="1" applyBorder="1"/>
    <xf numFmtId="171" fontId="3" fillId="0" borderId="0" xfId="0" applyNumberFormat="1" applyFont="1" applyBorder="1"/>
    <xf numFmtId="169" fontId="4" fillId="0" borderId="1" xfId="0" applyNumberFormat="1" applyFont="1" applyBorder="1"/>
    <xf numFmtId="172" fontId="3" fillId="0" borderId="0" xfId="0" applyNumberFormat="1" applyFont="1" applyBorder="1"/>
    <xf numFmtId="176" fontId="2" fillId="0" borderId="0" xfId="0" applyNumberFormat="1" applyFont="1" applyBorder="1" applyAlignment="1">
      <alignment horizontal="right"/>
    </xf>
    <xf numFmtId="170" fontId="3" fillId="0" borderId="0" xfId="0" applyNumberFormat="1" applyFont="1" applyBorder="1"/>
    <xf numFmtId="0" fontId="0" fillId="0" borderId="9" xfId="0" applyBorder="1"/>
    <xf numFmtId="0" fontId="3" fillId="0" borderId="0" xfId="0" applyFont="1" applyBorder="1" applyAlignment="1">
      <alignment horizontal="right"/>
    </xf>
    <xf numFmtId="170" fontId="2" fillId="0" borderId="0" xfId="0" applyNumberFormat="1" applyFont="1" applyBorder="1"/>
    <xf numFmtId="0" fontId="0" fillId="0" borderId="10" xfId="0" applyBorder="1"/>
    <xf numFmtId="0" fontId="3" fillId="0" borderId="9" xfId="0" applyFont="1" applyBorder="1"/>
    <xf numFmtId="0" fontId="0" fillId="0" borderId="11" xfId="0" applyBorder="1"/>
    <xf numFmtId="0" fontId="3" fillId="0" borderId="9" xfId="0" applyNumberFormat="1" applyFont="1" applyBorder="1"/>
    <xf numFmtId="0" fontId="3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quotePrefix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3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quotePrefix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6" fillId="0" borderId="19" xfId="0" applyFont="1" applyBorder="1" applyAlignment="1" applyProtection="1">
      <alignment horizontal="right"/>
      <protection locked="0"/>
    </xf>
    <xf numFmtId="0" fontId="6" fillId="0" borderId="13" xfId="0" quotePrefix="1" applyFont="1" applyBorder="1" applyAlignment="1" applyProtection="1">
      <alignment horizontal="right"/>
      <protection locked="0"/>
    </xf>
    <xf numFmtId="0" fontId="6" fillId="0" borderId="20" xfId="0" quotePrefix="1" applyFont="1" applyBorder="1" applyAlignment="1" applyProtection="1">
      <alignment horizontal="right"/>
      <protection locked="0"/>
    </xf>
    <xf numFmtId="0" fontId="6" fillId="0" borderId="18" xfId="0" quotePrefix="1" applyFont="1" applyBorder="1" applyAlignment="1" applyProtection="1">
      <alignment horizontal="right"/>
      <protection locked="0"/>
    </xf>
    <xf numFmtId="0" fontId="6" fillId="0" borderId="17" xfId="0" quotePrefix="1" applyFont="1" applyBorder="1" applyAlignment="1" applyProtection="1">
      <alignment horizontal="right"/>
      <protection locked="0"/>
    </xf>
    <xf numFmtId="0" fontId="6" fillId="0" borderId="21" xfId="0" applyFont="1" applyBorder="1" applyAlignment="1" applyProtection="1">
      <alignment horizontal="right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6" fillId="0" borderId="1" xfId="0" quotePrefix="1" applyFont="1" applyBorder="1" applyAlignment="1" applyProtection="1">
      <alignment horizontal="right"/>
      <protection locked="0"/>
    </xf>
    <xf numFmtId="0" fontId="7" fillId="0" borderId="0" xfId="0" quotePrefix="1" applyFont="1" applyBorder="1" applyAlignment="1" applyProtection="1">
      <alignment horizontal="right"/>
      <protection locked="0"/>
    </xf>
    <xf numFmtId="0" fontId="7" fillId="0" borderId="1" xfId="0" quotePrefix="1" applyFont="1" applyBorder="1" applyAlignment="1" applyProtection="1">
      <alignment horizontal="right"/>
      <protection locked="0"/>
    </xf>
    <xf numFmtId="0" fontId="7" fillId="0" borderId="13" xfId="0" quotePrefix="1" applyFont="1" applyBorder="1" applyAlignment="1" applyProtection="1">
      <alignment horizontal="right"/>
      <protection locked="0"/>
    </xf>
    <xf numFmtId="0" fontId="7" fillId="0" borderId="18" xfId="0" quotePrefix="1" applyFont="1" applyBorder="1" applyAlignment="1" applyProtection="1">
      <alignment horizontal="right"/>
      <protection locked="0"/>
    </xf>
    <xf numFmtId="0" fontId="7" fillId="0" borderId="20" xfId="0" quotePrefix="1" applyFont="1" applyBorder="1" applyAlignment="1" applyProtection="1">
      <alignment horizontal="right"/>
      <protection locked="0"/>
    </xf>
    <xf numFmtId="0" fontId="7" fillId="0" borderId="19" xfId="0" quotePrefix="1" applyFont="1" applyBorder="1" applyAlignment="1" applyProtection="1">
      <alignment horizontal="right"/>
      <protection locked="0"/>
    </xf>
    <xf numFmtId="1" fontId="4" fillId="0" borderId="0" xfId="0" applyNumberFormat="1" applyFont="1" applyBorder="1" applyAlignment="1" applyProtection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6" fillId="0" borderId="13" xfId="0" quotePrefix="1" applyFont="1" applyBorder="1" applyAlignment="1" applyProtection="1">
      <alignment horizontal="center"/>
      <protection locked="0"/>
    </xf>
    <xf numFmtId="0" fontId="6" fillId="0" borderId="18" xfId="0" quotePrefix="1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9" xfId="0" quotePrefix="1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6" fillId="0" borderId="20" xfId="0" quotePrefix="1" applyFont="1" applyBorder="1" applyAlignment="1" applyProtection="1">
      <alignment horizontal="center"/>
      <protection locked="0"/>
    </xf>
    <xf numFmtId="0" fontId="7" fillId="0" borderId="20" xfId="0" quotePrefix="1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0" xfId="0" quotePrefix="1" applyFont="1" applyBorder="1" applyAlignment="1" applyProtection="1">
      <alignment horizontal="center"/>
      <protection locked="0"/>
    </xf>
    <xf numFmtId="0" fontId="6" fillId="0" borderId="1" xfId="0" quotePrefix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right" vertical="center"/>
    </xf>
    <xf numFmtId="0" fontId="2" fillId="0" borderId="0" xfId="0" applyFont="1" applyAlignment="1" applyProtection="1">
      <alignment horizontal="right"/>
    </xf>
    <xf numFmtId="0" fontId="8" fillId="0" borderId="0" xfId="0" applyFont="1" applyAlignment="1">
      <alignment wrapText="1"/>
    </xf>
    <xf numFmtId="0" fontId="9" fillId="0" borderId="0" xfId="0" applyFont="1"/>
    <xf numFmtId="0" fontId="8" fillId="0" borderId="0" xfId="0" applyFont="1"/>
    <xf numFmtId="0" fontId="10" fillId="0" borderId="0" xfId="0" applyFont="1" applyBorder="1" applyAlignment="1">
      <alignment vertical="top" wrapText="1"/>
    </xf>
    <xf numFmtId="0" fontId="11" fillId="0" borderId="0" xfId="0" applyFont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wrapText="1"/>
    </xf>
    <xf numFmtId="168" fontId="6" fillId="0" borderId="21" xfId="0" applyNumberFormat="1" applyFont="1" applyBorder="1" applyAlignment="1" applyProtection="1">
      <alignment horizontal="right"/>
      <protection locked="0"/>
    </xf>
    <xf numFmtId="2" fontId="6" fillId="0" borderId="17" xfId="0" applyNumberFormat="1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179" fontId="0" fillId="0" borderId="0" xfId="0" applyNumberFormat="1" applyProtection="1">
      <protection locked="0"/>
    </xf>
    <xf numFmtId="179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25" dropStyle="combo" dx="16" fmlaLink="volume_from" fmlaRange="volume_list" noThreeD="1" sel="3" val="2"/>
</file>

<file path=xl/ctrlProps/ctrlProp2.xml><?xml version="1.0" encoding="utf-8"?>
<formControlPr xmlns="http://schemas.microsoft.com/office/spreadsheetml/2009/9/main" objectType="Drop" dropLines="25" dropStyle="combo" dx="16" fmlaLink="volume_to" fmlaRange="volume_list" noThreeD="1" sel="4" val="0"/>
</file>

<file path=xl/ctrlProps/ctrlProp3.xml><?xml version="1.0" encoding="utf-8"?>
<formControlPr xmlns="http://schemas.microsoft.com/office/spreadsheetml/2009/9/main" objectType="Drop" dropLines="25" dropStyle="combo" dx="16" fmlaLink="volume_from" fmlaRange="volume_list" noThreeD="1" sel="3" val="0"/>
</file>

<file path=xl/ctrlProps/ctrlProp4.xml><?xml version="1.0" encoding="utf-8"?>
<formControlPr xmlns="http://schemas.microsoft.com/office/spreadsheetml/2009/9/main" objectType="Drop" dropLines="25" dropStyle="combo" dx="16" fmlaLink="volume_to" fmlaRange="volume_list" noThreeD="1" sel="4" val="3"/>
</file>

<file path=xl/ctrlProps/ctrlProp5.xml><?xml version="1.0" encoding="utf-8"?>
<formControlPr xmlns="http://schemas.microsoft.com/office/spreadsheetml/2009/9/main" objectType="Drop" dropLines="25" dropStyle="combo" dx="16" fmlaLink="time_to" fmlaRange="time_list" noThreeD="1" sel="2" val="0"/>
</file>

<file path=xl/ctrlProps/ctrlProp6.xml><?xml version="1.0" encoding="utf-8"?>
<formControlPr xmlns="http://schemas.microsoft.com/office/spreadsheetml/2009/9/main" objectType="Drop" dropLines="25" dropStyle="combo" dx="16" fmlaLink="volume_from" fmlaRange="volume_list" noThreeD="1" sel="3" val="2"/>
</file>

<file path=xl/ctrlProps/ctrlProp7.xml><?xml version="1.0" encoding="utf-8"?>
<formControlPr xmlns="http://schemas.microsoft.com/office/spreadsheetml/2009/9/main" objectType="Drop" dropLines="25" dropStyle="combo" dx="16" fmlaLink="volume_to" fmlaRange="volume_list" noThreeD="1" sel="4" val="2"/>
</file>

<file path=xl/ctrlProps/ctrlProp8.xml><?xml version="1.0" encoding="utf-8"?>
<formControlPr xmlns="http://schemas.microsoft.com/office/spreadsheetml/2009/9/main" objectType="Drop" dropLines="25" dropStyle="combo" dx="16" fmlaLink="time_to" fmlaRange="time_list" noThreeD="1" sel="2" val="0"/>
</file>

<file path=xl/ctrlProps/ctrlProp9.xml><?xml version="1.0" encoding="utf-8"?>
<formControlPr xmlns="http://schemas.microsoft.com/office/spreadsheetml/2009/9/main" objectType="Drop" dropLines="25" dropStyle="combo" dx="16" fmlaLink="volume_from" fmlaRange="volume_list" noThreeD="1" sel="3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51</xdr:row>
      <xdr:rowOff>139851</xdr:rowOff>
    </xdr:from>
    <xdr:to>
      <xdr:col>7</xdr:col>
      <xdr:colOff>419099</xdr:colOff>
      <xdr:row>81</xdr:row>
      <xdr:rowOff>130326</xdr:rowOff>
    </xdr:to>
    <xdr:pic>
      <xdr:nvPicPr>
        <xdr:cNvPr id="5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" y="9982351"/>
          <a:ext cx="4430183" cy="475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179930</xdr:colOff>
      <xdr:row>2</xdr:row>
      <xdr:rowOff>130030</xdr:rowOff>
    </xdr:from>
    <xdr:to>
      <xdr:col>7</xdr:col>
      <xdr:colOff>459597</xdr:colOff>
      <xdr:row>50</xdr:row>
      <xdr:rowOff>124875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30" y="2193780"/>
          <a:ext cx="4576500" cy="761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32810</xdr:colOff>
      <xdr:row>4</xdr:row>
      <xdr:rowOff>111125</xdr:rowOff>
    </xdr:from>
    <xdr:to>
      <xdr:col>14</xdr:col>
      <xdr:colOff>211278</xdr:colOff>
      <xdr:row>46</xdr:row>
      <xdr:rowOff>62194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7" y="2492375"/>
          <a:ext cx="4983301" cy="6618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421821</xdr:colOff>
      <xdr:row>4</xdr:row>
      <xdr:rowOff>48381</xdr:rowOff>
    </xdr:from>
    <xdr:to>
      <xdr:col>24</xdr:col>
      <xdr:colOff>477611</xdr:colOff>
      <xdr:row>49</xdr:row>
      <xdr:rowOff>57906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7321" y="2429631"/>
          <a:ext cx="6194123" cy="715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9</xdr:row>
      <xdr:rowOff>47625</xdr:rowOff>
    </xdr:from>
    <xdr:to>
      <xdr:col>8</xdr:col>
      <xdr:colOff>619125</xdr:colOff>
      <xdr:row>9</xdr:row>
      <xdr:rowOff>123825</xdr:rowOff>
    </xdr:to>
    <xdr:sp macro="" textlink="">
      <xdr:nvSpPr>
        <xdr:cNvPr id="1041" name="Rectangle 3"/>
        <xdr:cNvSpPr>
          <a:spLocks noChangeArrowheads="1"/>
        </xdr:cNvSpPr>
      </xdr:nvSpPr>
      <xdr:spPr bwMode="auto">
        <a:xfrm>
          <a:off x="7705725" y="1657350"/>
          <a:ext cx="3714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247650</xdr:colOff>
      <xdr:row>12</xdr:row>
      <xdr:rowOff>38100</xdr:rowOff>
    </xdr:from>
    <xdr:to>
      <xdr:col>8</xdr:col>
      <xdr:colOff>619125</xdr:colOff>
      <xdr:row>12</xdr:row>
      <xdr:rowOff>114300</xdr:rowOff>
    </xdr:to>
    <xdr:sp macro="" textlink="">
      <xdr:nvSpPr>
        <xdr:cNvPr id="1042" name="Rectangle 4"/>
        <xdr:cNvSpPr>
          <a:spLocks noChangeArrowheads="1"/>
        </xdr:cNvSpPr>
      </xdr:nvSpPr>
      <xdr:spPr bwMode="auto">
        <a:xfrm>
          <a:off x="7705725" y="2133600"/>
          <a:ext cx="3714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247650</xdr:colOff>
      <xdr:row>13</xdr:row>
      <xdr:rowOff>47625</xdr:rowOff>
    </xdr:from>
    <xdr:to>
      <xdr:col>8</xdr:col>
      <xdr:colOff>619125</xdr:colOff>
      <xdr:row>13</xdr:row>
      <xdr:rowOff>123825</xdr:rowOff>
    </xdr:to>
    <xdr:sp macro="" textlink="">
      <xdr:nvSpPr>
        <xdr:cNvPr id="1043" name="Rectangle 5"/>
        <xdr:cNvSpPr>
          <a:spLocks noChangeArrowheads="1"/>
        </xdr:cNvSpPr>
      </xdr:nvSpPr>
      <xdr:spPr bwMode="auto">
        <a:xfrm>
          <a:off x="7705725" y="2305050"/>
          <a:ext cx="3714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6</xdr:col>
          <xdr:colOff>0</xdr:colOff>
          <xdr:row>4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10</xdr:row>
      <xdr:rowOff>47625</xdr:rowOff>
    </xdr:from>
    <xdr:to>
      <xdr:col>8</xdr:col>
      <xdr:colOff>619125</xdr:colOff>
      <xdr:row>10</xdr:row>
      <xdr:rowOff>123825</xdr:rowOff>
    </xdr:to>
    <xdr:sp macro="" textlink="">
      <xdr:nvSpPr>
        <xdr:cNvPr id="2066" name="Rectangle 4"/>
        <xdr:cNvSpPr>
          <a:spLocks noChangeArrowheads="1"/>
        </xdr:cNvSpPr>
      </xdr:nvSpPr>
      <xdr:spPr bwMode="auto">
        <a:xfrm>
          <a:off x="7705725" y="1819275"/>
          <a:ext cx="3714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247650</xdr:colOff>
      <xdr:row>12</xdr:row>
      <xdr:rowOff>38100</xdr:rowOff>
    </xdr:from>
    <xdr:to>
      <xdr:col>8</xdr:col>
      <xdr:colOff>619125</xdr:colOff>
      <xdr:row>12</xdr:row>
      <xdr:rowOff>114300</xdr:rowOff>
    </xdr:to>
    <xdr:sp macro="" textlink="">
      <xdr:nvSpPr>
        <xdr:cNvPr id="2067" name="Rectangle 5"/>
        <xdr:cNvSpPr>
          <a:spLocks noChangeArrowheads="1"/>
        </xdr:cNvSpPr>
      </xdr:nvSpPr>
      <xdr:spPr bwMode="auto">
        <a:xfrm>
          <a:off x="7705725" y="2133600"/>
          <a:ext cx="3714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247650</xdr:colOff>
      <xdr:row>13</xdr:row>
      <xdr:rowOff>47625</xdr:rowOff>
    </xdr:from>
    <xdr:to>
      <xdr:col>8</xdr:col>
      <xdr:colOff>619125</xdr:colOff>
      <xdr:row>13</xdr:row>
      <xdr:rowOff>123825</xdr:rowOff>
    </xdr:to>
    <xdr:sp macro="" textlink="">
      <xdr:nvSpPr>
        <xdr:cNvPr id="2068" name="Rectangle 6"/>
        <xdr:cNvSpPr>
          <a:spLocks noChangeArrowheads="1"/>
        </xdr:cNvSpPr>
      </xdr:nvSpPr>
      <xdr:spPr bwMode="auto">
        <a:xfrm>
          <a:off x="7705725" y="2305050"/>
          <a:ext cx="371475" cy="7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3</xdr:row>
          <xdr:rowOff>0</xdr:rowOff>
        </xdr:from>
        <xdr:to>
          <xdr:col>5</xdr:col>
          <xdr:colOff>1076325</xdr:colOff>
          <xdr:row>4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1076325</xdr:colOff>
          <xdr:row>5</xdr:row>
          <xdr:rowOff>0</xdr:rowOff>
        </xdr:from>
        <xdr:to>
          <xdr:col>5</xdr:col>
          <xdr:colOff>1076325</xdr:colOff>
          <xdr:row>6</xdr:row>
          <xdr:rowOff>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1076325</xdr:colOff>
          <xdr:row>7</xdr:row>
          <xdr:rowOff>0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6</xdr:col>
          <xdr:colOff>0</xdr:colOff>
          <xdr:row>4</xdr:row>
          <xdr:rowOff>0</xdr:rowOff>
        </xdr:to>
        <xdr:sp macro="" textlink="">
          <xdr:nvSpPr>
            <xdr:cNvPr id="3080" name="Drop Down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081" name="Drop Down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3082" name="Drop Down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323850</xdr:colOff>
          <xdr:row>7</xdr:row>
          <xdr:rowOff>66675</xdr:rowOff>
        </xdr:from>
        <xdr:ext cx="1084792" cy="206375"/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3:S82"/>
  <sheetViews>
    <sheetView tabSelected="1" zoomScale="70" zoomScaleNormal="70" workbookViewId="0"/>
  </sheetViews>
  <sheetFormatPr defaultRowHeight="12.75"/>
  <cols>
    <col min="1" max="8" width="9.140625" style="6"/>
    <col min="9" max="9" width="13" style="6" customWidth="1"/>
    <col min="10" max="10" width="22.28515625" style="6" customWidth="1"/>
    <col min="11" max="16384" width="9.140625" style="6"/>
  </cols>
  <sheetData>
    <row r="3" spans="9:19">
      <c r="I3" s="2" t="s">
        <v>287</v>
      </c>
      <c r="J3" s="1"/>
      <c r="K3" s="135"/>
      <c r="M3" s="1"/>
      <c r="N3" s="1"/>
      <c r="O3" s="2"/>
      <c r="P3" s="2" t="s">
        <v>288</v>
      </c>
      <c r="Q3"/>
      <c r="R3"/>
      <c r="S3"/>
    </row>
    <row r="4" spans="9:19">
      <c r="I4" s="1"/>
      <c r="J4" s="1"/>
      <c r="K4" s="135"/>
      <c r="L4" s="1"/>
      <c r="M4" s="1"/>
      <c r="N4" s="1"/>
      <c r="O4" s="1"/>
      <c r="P4" s="1"/>
      <c r="Q4"/>
      <c r="R4"/>
      <c r="S4"/>
    </row>
    <row r="5" spans="9:19"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9:19"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82" spans="19:19">
      <c r="S82" s="6" t="s">
        <v>286</v>
      </c>
    </row>
  </sheetData>
  <phoneticPr fontId="1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71"/>
  <sheetViews>
    <sheetView zoomScale="80" zoomScaleNormal="80" workbookViewId="0"/>
  </sheetViews>
  <sheetFormatPr defaultRowHeight="18.75"/>
  <cols>
    <col min="1" max="1" width="5.42578125" style="127" customWidth="1"/>
    <col min="2" max="2" width="43.140625" style="128" customWidth="1"/>
    <col min="3" max="3" width="9.140625" style="127"/>
    <col min="4" max="4" width="51.28515625" style="127" customWidth="1"/>
    <col min="5" max="16384" width="9.140625" style="127"/>
  </cols>
  <sheetData>
    <row r="2" spans="2:4" s="121" customFormat="1" ht="30">
      <c r="B2" s="120" t="s">
        <v>241</v>
      </c>
      <c r="D2" s="122" t="s">
        <v>242</v>
      </c>
    </row>
    <row r="4" spans="2:4" s="124" customFormat="1">
      <c r="B4" s="123" t="s">
        <v>243</v>
      </c>
      <c r="D4" s="125" t="s">
        <v>247</v>
      </c>
    </row>
    <row r="5" spans="2:4" s="124" customFormat="1">
      <c r="B5" s="126" t="s">
        <v>244</v>
      </c>
      <c r="D5" s="124" t="s">
        <v>244</v>
      </c>
    </row>
    <row r="6" spans="2:4" s="124" customFormat="1">
      <c r="B6" s="126" t="s">
        <v>245</v>
      </c>
      <c r="D6" s="124" t="s">
        <v>245</v>
      </c>
    </row>
    <row r="7" spans="2:4" s="124" customFormat="1">
      <c r="B7" s="126"/>
    </row>
    <row r="8" spans="2:4" s="124" customFormat="1" ht="56.25">
      <c r="B8" s="126" t="s">
        <v>268</v>
      </c>
      <c r="D8" s="126" t="s">
        <v>249</v>
      </c>
    </row>
    <row r="9" spans="2:4" s="124" customFormat="1">
      <c r="B9" s="126"/>
    </row>
    <row r="10" spans="2:4" s="124" customFormat="1" ht="37.5">
      <c r="B10" s="126" t="s">
        <v>250</v>
      </c>
      <c r="D10" s="126" t="s">
        <v>269</v>
      </c>
    </row>
    <row r="11" spans="2:4" s="124" customFormat="1">
      <c r="B11" s="126"/>
      <c r="D11" s="126"/>
    </row>
    <row r="12" spans="2:4" s="124" customFormat="1" ht="37.5">
      <c r="B12" s="126" t="s">
        <v>246</v>
      </c>
      <c r="D12" s="126" t="s">
        <v>251</v>
      </c>
    </row>
    <row r="13" spans="2:4" s="124" customFormat="1">
      <c r="B13" s="126"/>
      <c r="D13" s="126"/>
    </row>
    <row r="14" spans="2:4" s="124" customFormat="1" ht="37.5">
      <c r="B14" s="126" t="s">
        <v>265</v>
      </c>
      <c r="D14" s="126" t="s">
        <v>252</v>
      </c>
    </row>
    <row r="15" spans="2:4" s="124" customFormat="1">
      <c r="B15" s="126"/>
      <c r="D15" s="126"/>
    </row>
    <row r="16" spans="2:4" s="124" customFormat="1" ht="37.5">
      <c r="B16" s="126" t="s">
        <v>266</v>
      </c>
      <c r="D16" s="126" t="s">
        <v>253</v>
      </c>
    </row>
    <row r="17" spans="2:4" s="124" customFormat="1">
      <c r="B17" s="126"/>
      <c r="D17" s="126"/>
    </row>
    <row r="18" spans="2:4" s="124" customFormat="1" ht="37.5">
      <c r="B18" s="126" t="s">
        <v>267</v>
      </c>
      <c r="D18" s="126" t="s">
        <v>254</v>
      </c>
    </row>
    <row r="19" spans="2:4" s="124" customFormat="1">
      <c r="B19" s="126"/>
      <c r="D19" s="126"/>
    </row>
    <row r="20" spans="2:4" s="124" customFormat="1">
      <c r="B20" s="126" t="s">
        <v>264</v>
      </c>
      <c r="D20" s="126" t="s">
        <v>255</v>
      </c>
    </row>
    <row r="21" spans="2:4" s="124" customFormat="1">
      <c r="B21" s="126"/>
      <c r="D21" s="126"/>
    </row>
    <row r="22" spans="2:4" s="124" customFormat="1" ht="37.5" customHeight="1">
      <c r="B22" s="126" t="s">
        <v>263</v>
      </c>
      <c r="D22" s="126" t="s">
        <v>256</v>
      </c>
    </row>
    <row r="23" spans="2:4" s="124" customFormat="1">
      <c r="B23" s="126"/>
      <c r="D23" s="126"/>
    </row>
    <row r="24" spans="2:4" s="124" customFormat="1" ht="56.25">
      <c r="B24" s="126" t="s">
        <v>262</v>
      </c>
      <c r="D24" s="126" t="s">
        <v>270</v>
      </c>
    </row>
    <row r="25" spans="2:4" s="124" customFormat="1">
      <c r="B25" s="126"/>
      <c r="D25" s="126"/>
    </row>
    <row r="26" spans="2:4" s="124" customFormat="1" ht="37.5">
      <c r="B26" s="126" t="s">
        <v>261</v>
      </c>
      <c r="D26" s="126" t="s">
        <v>257</v>
      </c>
    </row>
    <row r="27" spans="2:4" s="124" customFormat="1">
      <c r="B27" s="126"/>
      <c r="D27" s="126"/>
    </row>
    <row r="28" spans="2:4" s="124" customFormat="1" ht="39" customHeight="1">
      <c r="B28" s="126" t="s">
        <v>271</v>
      </c>
      <c r="D28" s="126" t="s">
        <v>272</v>
      </c>
    </row>
    <row r="29" spans="2:4" s="124" customFormat="1">
      <c r="B29" s="126"/>
      <c r="D29" s="126"/>
    </row>
    <row r="30" spans="2:4" s="124" customFormat="1" ht="37.5" customHeight="1">
      <c r="B30" s="126" t="s">
        <v>248</v>
      </c>
      <c r="D30" s="126" t="s">
        <v>258</v>
      </c>
    </row>
    <row r="31" spans="2:4" s="124" customFormat="1">
      <c r="B31" s="126"/>
      <c r="D31" s="126"/>
    </row>
    <row r="32" spans="2:4" s="124" customFormat="1" ht="56.25">
      <c r="B32" s="126" t="s">
        <v>260</v>
      </c>
      <c r="D32" s="126" t="s">
        <v>259</v>
      </c>
    </row>
    <row r="33" spans="4:4">
      <c r="D33" s="128"/>
    </row>
    <row r="34" spans="4:4">
      <c r="D34" s="128"/>
    </row>
    <row r="35" spans="4:4">
      <c r="D35" s="128"/>
    </row>
    <row r="36" spans="4:4">
      <c r="D36" s="128"/>
    </row>
    <row r="37" spans="4:4">
      <c r="D37" s="128"/>
    </row>
    <row r="38" spans="4:4">
      <c r="D38" s="128"/>
    </row>
    <row r="39" spans="4:4">
      <c r="D39" s="128"/>
    </row>
    <row r="40" spans="4:4">
      <c r="D40" s="128"/>
    </row>
    <row r="41" spans="4:4">
      <c r="D41" s="128"/>
    </row>
    <row r="42" spans="4:4">
      <c r="D42" s="128"/>
    </row>
    <row r="43" spans="4:4">
      <c r="D43" s="128"/>
    </row>
    <row r="44" spans="4:4">
      <c r="D44" s="128"/>
    </row>
    <row r="45" spans="4:4">
      <c r="D45" s="128"/>
    </row>
    <row r="46" spans="4:4">
      <c r="D46" s="128"/>
    </row>
    <row r="47" spans="4:4">
      <c r="D47" s="128"/>
    </row>
    <row r="48" spans="4:4">
      <c r="D48" s="128"/>
    </row>
    <row r="49" spans="4:4">
      <c r="D49" s="128"/>
    </row>
    <row r="50" spans="4:4">
      <c r="D50" s="128"/>
    </row>
    <row r="51" spans="4:4">
      <c r="D51" s="128"/>
    </row>
    <row r="52" spans="4:4">
      <c r="D52" s="128"/>
    </row>
    <row r="53" spans="4:4">
      <c r="D53" s="128"/>
    </row>
    <row r="54" spans="4:4">
      <c r="D54" s="128"/>
    </row>
    <row r="55" spans="4:4">
      <c r="D55" s="128"/>
    </row>
    <row r="56" spans="4:4">
      <c r="D56" s="128"/>
    </row>
    <row r="57" spans="4:4">
      <c r="D57" s="128"/>
    </row>
    <row r="58" spans="4:4">
      <c r="D58" s="128"/>
    </row>
    <row r="59" spans="4:4">
      <c r="D59" s="128"/>
    </row>
    <row r="60" spans="4:4">
      <c r="D60" s="128"/>
    </row>
    <row r="61" spans="4:4">
      <c r="D61" s="128"/>
    </row>
    <row r="62" spans="4:4">
      <c r="D62" s="128"/>
    </row>
    <row r="63" spans="4:4">
      <c r="D63" s="128"/>
    </row>
    <row r="64" spans="4:4">
      <c r="D64" s="128"/>
    </row>
    <row r="65" spans="4:4">
      <c r="D65" s="128"/>
    </row>
    <row r="66" spans="4:4">
      <c r="D66" s="128"/>
    </row>
    <row r="67" spans="4:4">
      <c r="D67" s="128"/>
    </row>
    <row r="68" spans="4:4">
      <c r="D68" s="128"/>
    </row>
    <row r="69" spans="4:4">
      <c r="D69" s="128"/>
    </row>
    <row r="70" spans="4:4">
      <c r="D70" s="128"/>
    </row>
    <row r="71" spans="4:4">
      <c r="D71" s="128"/>
    </row>
  </sheetData>
  <phoneticPr fontId="1" type="noConversion"/>
  <printOptions horizontalCentered="1" verticalCentered="1"/>
  <pageMargins left="0.5" right="0.25" top="0.75" bottom="0.5" header="0.5" footer="0.5"/>
  <pageSetup scale="81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8"/>
  <sheetViews>
    <sheetView workbookViewId="0"/>
  </sheetViews>
  <sheetFormatPr defaultRowHeight="12.75"/>
  <cols>
    <col min="1" max="1" width="14.42578125" style="6" customWidth="1"/>
    <col min="2" max="2" width="14.28515625" style="6" customWidth="1"/>
    <col min="3" max="3" width="4.5703125" style="6" bestFit="1" customWidth="1"/>
    <col min="4" max="4" width="22.7109375" style="6" bestFit="1" customWidth="1"/>
    <col min="5" max="6" width="16.140625" style="38" customWidth="1"/>
    <col min="7" max="7" width="7.28515625" style="6" customWidth="1"/>
    <col min="8" max="8" width="16.28515625" style="6" bestFit="1" customWidth="1"/>
    <col min="9" max="9" width="13.85546875" style="6" customWidth="1"/>
    <col min="10" max="10" width="12.85546875" style="6" customWidth="1"/>
    <col min="11" max="16384" width="9.140625" style="6"/>
  </cols>
  <sheetData>
    <row r="2" spans="2:10">
      <c r="B2" s="6" t="s">
        <v>95</v>
      </c>
    </row>
    <row r="3" spans="2:10" ht="13.5" thickBot="1">
      <c r="I3" s="6" t="s">
        <v>178</v>
      </c>
    </row>
    <row r="4" spans="2:10" ht="16.5" customHeight="1" thickBot="1">
      <c r="C4" s="4" t="s">
        <v>100</v>
      </c>
      <c r="D4" s="5">
        <v>303200</v>
      </c>
      <c r="E4" s="39" t="s">
        <v>101</v>
      </c>
      <c r="F4" s="6"/>
      <c r="I4" s="112">
        <f>VLOOKUP(volume_from,volume,2)</f>
        <v>1</v>
      </c>
      <c r="J4" s="40" t="str">
        <f>VLOOKUP(volume_from,volume,4)&amp;" / M3"</f>
        <v>M3 / M3</v>
      </c>
    </row>
    <row r="5" spans="2:10">
      <c r="F5" s="6"/>
      <c r="I5" s="40"/>
      <c r="J5" s="40"/>
    </row>
    <row r="6" spans="2:10" ht="16.5" customHeight="1">
      <c r="C6" s="4" t="s">
        <v>179</v>
      </c>
      <c r="F6" s="6"/>
      <c r="I6" s="112">
        <f>VLOOKUP(volume_to,volume,2)</f>
        <v>1000</v>
      </c>
      <c r="J6" s="40" t="str">
        <f>VLOOKUP(volume_to,volume,4)&amp;" / M3"</f>
        <v>litre / M3</v>
      </c>
    </row>
    <row r="7" spans="2:10" ht="16.5" customHeight="1">
      <c r="C7" s="4" t="s">
        <v>180</v>
      </c>
      <c r="E7" s="111" t="str">
        <f>VLOOKUP(volume_to,volume,4)&amp;" / "</f>
        <v xml:space="preserve">litre / </v>
      </c>
      <c r="F7" s="56" t="s">
        <v>184</v>
      </c>
    </row>
    <row r="9" spans="2:10">
      <c r="B9" s="41"/>
      <c r="C9" s="36" t="s">
        <v>238</v>
      </c>
      <c r="D9" s="115">
        <f>D4/VLOOKUP(volume_to,volume,2)*VLOOKUP(volume_from,volume,2)</f>
        <v>303.2</v>
      </c>
      <c r="E9" s="39" t="s">
        <v>101</v>
      </c>
      <c r="F9" s="112" t="str">
        <f>VLOOKUP(volume_to,volume,4)</f>
        <v>litre</v>
      </c>
      <c r="I9" s="40" t="s">
        <v>194</v>
      </c>
    </row>
    <row r="10" spans="2:10">
      <c r="C10" s="4"/>
      <c r="H10" s="38" t="s">
        <v>187</v>
      </c>
      <c r="I10" s="92"/>
      <c r="J10" s="6" t="s">
        <v>232</v>
      </c>
    </row>
    <row r="11" spans="2:10">
      <c r="C11" s="4" t="s">
        <v>233</v>
      </c>
      <c r="D11" s="113">
        <f>IF(D9&gt;32767000,"too large",IF(D9&gt;3276700,INT(D9/1000+0.5),IF(D9&gt;327670,INT(D9/100+0.5),IF(D9&gt;32767,INT(D9/10+0.5),IF(D9&gt;0.5,INT(D9+0.5),"too small")))))</f>
        <v>303</v>
      </c>
      <c r="E11" s="58" t="s">
        <v>101</v>
      </c>
      <c r="F11" s="112" t="str">
        <f>IF(D9&gt;3276700,"0.001 ",IF(D9&gt;327670,"0.01 ",IF(D9&gt;32767,"0.1 ",""))&amp;VLOOKUP(volume_to,volume,4))</f>
        <v>litre</v>
      </c>
      <c r="H11" s="38"/>
      <c r="I11" s="92" t="s">
        <v>190</v>
      </c>
    </row>
    <row r="12" spans="2:10">
      <c r="C12" s="4" t="s">
        <v>234</v>
      </c>
      <c r="D12" s="114" t="str">
        <f>IF(D9&gt;32767000,"too large",IF(D9&gt;3276700,". _ _ _ ",IF(D9&gt;327670,". _ _ ",IF(D9&gt;32767,". _",IF(D9&gt;0.5,"&lt;blank&gt;","too small")))))</f>
        <v>&lt;blank&gt;</v>
      </c>
      <c r="E12" s="39"/>
      <c r="F12" s="40"/>
      <c r="H12" s="38" t="s">
        <v>188</v>
      </c>
      <c r="I12" s="92" t="s">
        <v>190</v>
      </c>
    </row>
    <row r="13" spans="2:10">
      <c r="C13" s="4"/>
      <c r="D13" s="42"/>
      <c r="E13" s="39"/>
      <c r="F13" s="40"/>
      <c r="H13" s="38"/>
      <c r="I13" s="92"/>
      <c r="J13" s="6" t="s">
        <v>193</v>
      </c>
    </row>
    <row r="14" spans="2:10">
      <c r="C14" s="4"/>
      <c r="D14" s="42"/>
      <c r="E14" s="39"/>
      <c r="F14" s="40"/>
      <c r="H14" s="38" t="s">
        <v>189</v>
      </c>
      <c r="I14" s="92"/>
      <c r="J14" s="6" t="s">
        <v>191</v>
      </c>
    </row>
    <row r="15" spans="2:10">
      <c r="C15" s="4"/>
      <c r="D15" s="42"/>
      <c r="E15" s="39"/>
      <c r="F15" s="40"/>
      <c r="I15" s="92" t="s">
        <v>190</v>
      </c>
    </row>
    <row r="16" spans="2:10">
      <c r="C16" s="4"/>
      <c r="D16" s="42"/>
      <c r="E16" s="39"/>
      <c r="F16" s="40"/>
      <c r="G16" s="6">
        <f>IF(D9&gt;3276700,0.001,IF(D9&gt;327670,0.01,IF(D9&gt;32767,0.1,1)))</f>
        <v>1</v>
      </c>
    </row>
    <row r="17" spans="1:7">
      <c r="C17" s="4"/>
      <c r="D17" s="42"/>
      <c r="E17" s="39"/>
      <c r="F17" s="40"/>
    </row>
    <row r="18" spans="1:7">
      <c r="C18" s="4"/>
      <c r="D18" s="42"/>
      <c r="E18" s="39"/>
      <c r="F18" s="40"/>
    </row>
    <row r="19" spans="1:7">
      <c r="C19" s="4"/>
      <c r="D19" s="42"/>
      <c r="E19" s="39"/>
      <c r="F19" s="40"/>
    </row>
    <row r="20" spans="1:7">
      <c r="A20" s="6" t="s">
        <v>236</v>
      </c>
      <c r="B20" s="43"/>
      <c r="C20" s="44" t="s">
        <v>11</v>
      </c>
      <c r="D20" s="44" t="s">
        <v>10</v>
      </c>
      <c r="E20" s="62" t="s">
        <v>0</v>
      </c>
      <c r="F20" s="63" t="s">
        <v>1</v>
      </c>
    </row>
    <row r="21" spans="1:7">
      <c r="B21" s="45"/>
      <c r="C21" s="46"/>
      <c r="D21" s="46"/>
      <c r="E21" s="64" t="s">
        <v>9</v>
      </c>
      <c r="F21" s="65" t="s">
        <v>9</v>
      </c>
    </row>
    <row r="22" spans="1:7" ht="13.5">
      <c r="B22" s="43"/>
      <c r="C22" s="44">
        <v>1</v>
      </c>
      <c r="D22" s="44" t="s">
        <v>12</v>
      </c>
      <c r="E22" s="87" t="s">
        <v>231</v>
      </c>
      <c r="F22" s="76" t="s">
        <v>2</v>
      </c>
    </row>
    <row r="23" spans="1:7" ht="13.5">
      <c r="B23" s="47" t="s">
        <v>5</v>
      </c>
      <c r="C23" s="48">
        <v>2</v>
      </c>
      <c r="D23" s="48" t="s">
        <v>14</v>
      </c>
      <c r="E23" s="85" t="s">
        <v>226</v>
      </c>
      <c r="F23" s="77" t="s">
        <v>2</v>
      </c>
    </row>
    <row r="24" spans="1:7" ht="13.5">
      <c r="A24" s="6" t="s">
        <v>195</v>
      </c>
      <c r="B24" s="47" t="s">
        <v>6</v>
      </c>
      <c r="C24" s="48">
        <v>3</v>
      </c>
      <c r="D24" s="48" t="s">
        <v>216</v>
      </c>
      <c r="E24" s="85" t="s">
        <v>227</v>
      </c>
      <c r="F24" s="77" t="s">
        <v>2</v>
      </c>
      <c r="G24" s="6" t="s">
        <v>81</v>
      </c>
    </row>
    <row r="25" spans="1:7" ht="13.5">
      <c r="B25" s="47" t="s">
        <v>7</v>
      </c>
      <c r="C25" s="48">
        <v>4</v>
      </c>
      <c r="D25" s="48" t="s">
        <v>216</v>
      </c>
      <c r="E25" s="85" t="s">
        <v>228</v>
      </c>
      <c r="F25" s="77" t="s">
        <v>2</v>
      </c>
      <c r="G25" s="6" t="s">
        <v>82</v>
      </c>
    </row>
    <row r="26" spans="1:7" ht="13.5">
      <c r="B26" s="47" t="s">
        <v>8</v>
      </c>
      <c r="C26" s="48">
        <v>5</v>
      </c>
      <c r="D26" s="48" t="s">
        <v>216</v>
      </c>
      <c r="E26" s="85" t="s">
        <v>229</v>
      </c>
      <c r="F26" s="77" t="s">
        <v>2</v>
      </c>
    </row>
    <row r="27" spans="1:7" ht="13.5">
      <c r="B27" s="45"/>
      <c r="C27" s="48">
        <v>6</v>
      </c>
      <c r="D27" s="48" t="s">
        <v>216</v>
      </c>
      <c r="E27" s="86" t="s">
        <v>230</v>
      </c>
      <c r="F27" s="77" t="s">
        <v>2</v>
      </c>
      <c r="G27" s="6" t="s">
        <v>29</v>
      </c>
    </row>
    <row r="28" spans="1:7" ht="13.5">
      <c r="A28" s="6" t="s">
        <v>96</v>
      </c>
      <c r="B28" s="43"/>
      <c r="C28" s="44">
        <v>11</v>
      </c>
      <c r="D28" s="44" t="s">
        <v>13</v>
      </c>
      <c r="E28" s="71" t="s">
        <v>4</v>
      </c>
      <c r="F28" s="63" t="s">
        <v>2</v>
      </c>
    </row>
    <row r="29" spans="1:7" ht="13.5">
      <c r="A29" s="6" t="s">
        <v>97</v>
      </c>
      <c r="B29" s="47" t="s">
        <v>91</v>
      </c>
      <c r="C29" s="48">
        <v>12</v>
      </c>
      <c r="D29" s="48" t="s">
        <v>15</v>
      </c>
      <c r="E29" s="68" t="s">
        <v>208</v>
      </c>
      <c r="F29" s="82" t="s">
        <v>2</v>
      </c>
      <c r="G29" s="6" t="s">
        <v>276</v>
      </c>
    </row>
    <row r="30" spans="1:7" ht="13.5">
      <c r="A30" s="6" t="s">
        <v>9</v>
      </c>
      <c r="B30" s="47" t="s">
        <v>92</v>
      </c>
      <c r="C30" s="48">
        <v>13</v>
      </c>
      <c r="D30" s="48" t="s">
        <v>15</v>
      </c>
      <c r="E30" s="68" t="s">
        <v>3</v>
      </c>
      <c r="F30" s="82" t="s">
        <v>2</v>
      </c>
      <c r="G30" s="6" t="s">
        <v>277</v>
      </c>
    </row>
    <row r="31" spans="1:7" ht="13.5">
      <c r="A31" s="6" t="s">
        <v>200</v>
      </c>
      <c r="B31" s="47" t="s">
        <v>93</v>
      </c>
      <c r="C31" s="48">
        <v>14</v>
      </c>
      <c r="D31" s="48" t="s">
        <v>15</v>
      </c>
      <c r="E31" s="68" t="s">
        <v>209</v>
      </c>
      <c r="F31" s="82" t="s">
        <v>2</v>
      </c>
      <c r="G31" s="6" t="s">
        <v>278</v>
      </c>
    </row>
    <row r="32" spans="1:7">
      <c r="A32" s="6" t="s">
        <v>198</v>
      </c>
      <c r="B32" s="47" t="s">
        <v>6</v>
      </c>
      <c r="C32" s="48">
        <v>15</v>
      </c>
      <c r="D32" s="48" t="s">
        <v>15</v>
      </c>
      <c r="E32" s="83" t="s">
        <v>2</v>
      </c>
      <c r="F32" s="82" t="s">
        <v>2</v>
      </c>
    </row>
    <row r="33" spans="1:7" ht="13.5">
      <c r="A33" s="6" t="s">
        <v>199</v>
      </c>
      <c r="B33" s="45"/>
      <c r="C33" s="46">
        <v>16</v>
      </c>
      <c r="D33" s="46" t="s">
        <v>13</v>
      </c>
      <c r="E33" s="84" t="s">
        <v>18</v>
      </c>
      <c r="F33" s="70">
        <v>0</v>
      </c>
      <c r="G33" s="6" t="s">
        <v>94</v>
      </c>
    </row>
    <row r="34" spans="1:7" ht="13.5">
      <c r="B34" s="53" t="s">
        <v>196</v>
      </c>
      <c r="C34" s="54">
        <v>17</v>
      </c>
      <c r="D34" s="54" t="s">
        <v>197</v>
      </c>
      <c r="E34" s="130">
        <f>D11*G16</f>
        <v>303</v>
      </c>
      <c r="F34" s="129">
        <f>86400/INT(D9)</f>
        <v>285.14851485148517</v>
      </c>
    </row>
    <row r="35" spans="1:7">
      <c r="F35" s="131" t="str">
        <f>IF(G16&lt;0.1,"^","")</f>
        <v/>
      </c>
      <c r="G35" s="132"/>
    </row>
    <row r="36" spans="1:7">
      <c r="F36" s="131" t="str">
        <f>IF(G16&lt;0.1,"^","")</f>
        <v/>
      </c>
      <c r="G36" s="133" t="str">
        <f>IF(G16&lt;0.1,"with ONC jumper ON, the rate display is shown 10 times too high","")</f>
        <v/>
      </c>
    </row>
    <row r="37" spans="1:7">
      <c r="G37" s="132" t="str">
        <f>IF(G16&lt;0.1,"for Converted K Factor (Divisor) over 327670","")</f>
        <v/>
      </c>
    </row>
    <row r="38" spans="1:7">
      <c r="G38" s="132" t="str">
        <f>IF(G16&lt;0.1,"Setup unit with ONC jumper off.","")</f>
        <v/>
      </c>
    </row>
  </sheetData>
  <phoneticPr fontId="0" type="noConversion"/>
  <pageMargins left="0.75" right="0.75" top="1" bottom="1" header="0.5" footer="0.5"/>
  <pageSetup orientation="portrait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Drop Down 8">
              <controlPr defaultSize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Drop Down 9">
              <controlPr defaultSize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45"/>
  <sheetViews>
    <sheetView workbookViewId="0"/>
  </sheetViews>
  <sheetFormatPr defaultRowHeight="12.75"/>
  <cols>
    <col min="1" max="1" width="14.42578125" style="6" customWidth="1"/>
    <col min="2" max="2" width="14.28515625" style="6" customWidth="1"/>
    <col min="3" max="3" width="4.5703125" style="6" bestFit="1" customWidth="1"/>
    <col min="4" max="4" width="22.7109375" style="6" bestFit="1" customWidth="1"/>
    <col min="5" max="6" width="16.140625" style="38" customWidth="1"/>
    <col min="7" max="7" width="7.28515625" style="6" customWidth="1"/>
    <col min="8" max="8" width="16.28515625" style="6" bestFit="1" customWidth="1"/>
    <col min="9" max="9" width="13.85546875" style="6" customWidth="1"/>
    <col min="10" max="10" width="12.85546875" style="6" customWidth="1"/>
    <col min="11" max="16384" width="9.140625" style="6"/>
  </cols>
  <sheetData>
    <row r="2" spans="2:10">
      <c r="B2" s="6" t="s">
        <v>98</v>
      </c>
    </row>
    <row r="3" spans="2:10" ht="13.5" thickBot="1">
      <c r="I3" s="6" t="s">
        <v>178</v>
      </c>
    </row>
    <row r="4" spans="2:10" ht="16.5" customHeight="1" thickBot="1">
      <c r="C4" s="4" t="s">
        <v>100</v>
      </c>
      <c r="D4" s="5">
        <v>3032000</v>
      </c>
      <c r="E4" s="39" t="s">
        <v>101</v>
      </c>
      <c r="F4" s="6"/>
      <c r="I4" s="50">
        <f>VLOOKUP(volume_from,volume,2)</f>
        <v>1</v>
      </c>
      <c r="J4" s="40" t="str">
        <f>VLOOKUP(volume_from,volume,4)&amp;" / M3"</f>
        <v>M3 / M3</v>
      </c>
    </row>
    <row r="5" spans="2:10">
      <c r="F5" s="6"/>
      <c r="I5" s="40"/>
      <c r="J5" s="40"/>
    </row>
    <row r="6" spans="2:10" ht="16.5" customHeight="1">
      <c r="C6" s="4" t="s">
        <v>179</v>
      </c>
      <c r="F6" s="6"/>
      <c r="I6" s="50">
        <f>VLOOKUP(volume_to,volume,2)</f>
        <v>1000</v>
      </c>
      <c r="J6" s="40" t="str">
        <f>VLOOKUP(volume_to,volume,4)&amp;" / M3"</f>
        <v>litre / M3</v>
      </c>
    </row>
    <row r="7" spans="2:10" ht="16.5" customHeight="1">
      <c r="C7" s="4" t="s">
        <v>180</v>
      </c>
      <c r="E7" s="111" t="str">
        <f>VLOOKUP(volume_to,volume,4)&amp;" / "</f>
        <v xml:space="preserve">litre / </v>
      </c>
      <c r="I7" s="50">
        <f>VLOOKUP(time_to,time,2)</f>
        <v>60</v>
      </c>
      <c r="J7" s="40" t="s">
        <v>186</v>
      </c>
    </row>
    <row r="9" spans="2:10">
      <c r="B9" s="41"/>
      <c r="C9" s="36" t="s">
        <v>238</v>
      </c>
      <c r="D9" s="37">
        <f>D4/VLOOKUP(volume_to,volume,2)*VLOOKUP(volume_from,volume,2)</f>
        <v>3032</v>
      </c>
      <c r="E9" s="39" t="s">
        <v>101</v>
      </c>
      <c r="F9" s="50" t="str">
        <f>VLOOKUP(volume_to,volume,4)</f>
        <v>litre</v>
      </c>
      <c r="I9" s="40" t="s">
        <v>194</v>
      </c>
    </row>
    <row r="10" spans="2:10">
      <c r="C10" s="4"/>
      <c r="H10" s="38" t="s">
        <v>187</v>
      </c>
      <c r="I10" s="92" t="s">
        <v>190</v>
      </c>
    </row>
    <row r="11" spans="2:10">
      <c r="C11" s="4" t="s">
        <v>201</v>
      </c>
      <c r="D11" s="49">
        <f>IF(D9&gt;32767000,"too large",IF(D9&gt;3276700,INT(D9/1000+0.5),IF(D9&gt;327670,INT(D9/100+0.5),IF(D9&gt;32767,INT(D9/10+0.5),IF(D9&gt;0.5,INT(D9+0.5),"too small")))))</f>
        <v>3032</v>
      </c>
      <c r="E11" s="39" t="s">
        <v>101</v>
      </c>
      <c r="F11" s="50" t="str">
        <f>IF(D9&gt;3276700,"0.001 ",IF(D9&gt;327670,"0.01 ",IF(D9&gt;32767,"0.1 ",""))&amp;VLOOKUP(volume_to,volume,4))</f>
        <v>litre</v>
      </c>
      <c r="H11" s="38"/>
      <c r="I11" s="92"/>
      <c r="J11" s="6" t="s">
        <v>192</v>
      </c>
    </row>
    <row r="12" spans="2:10">
      <c r="C12" s="4" t="s">
        <v>234</v>
      </c>
      <c r="D12" s="57" t="str">
        <f>IF(D9&gt;32767000,"too large",IF(D9&gt;3276700,". _ _ _ ",IF(D9&gt;327670,". _ _ ",IF(D9&gt;32767,". _",IF(D9&gt;0.5,"&lt;blank&gt;","too small")))))</f>
        <v>&lt;blank&gt;</v>
      </c>
      <c r="E12" s="39"/>
      <c r="F12" s="40"/>
      <c r="H12" s="38" t="s">
        <v>188</v>
      </c>
      <c r="I12" s="92" t="s">
        <v>190</v>
      </c>
    </row>
    <row r="13" spans="2:10">
      <c r="C13" s="4"/>
      <c r="D13" s="42"/>
      <c r="F13" s="40"/>
      <c r="H13" s="38"/>
      <c r="I13" s="92"/>
      <c r="J13" s="6" t="s">
        <v>193</v>
      </c>
    </row>
    <row r="14" spans="2:10">
      <c r="B14" s="41"/>
      <c r="C14" s="36" t="s">
        <v>202</v>
      </c>
      <c r="D14" s="61">
        <f>I7/D9</f>
        <v>1.9788918205804751E-2</v>
      </c>
      <c r="E14" s="39"/>
      <c r="F14" s="61"/>
      <c r="H14" s="38" t="s">
        <v>189</v>
      </c>
      <c r="I14" s="92"/>
      <c r="J14" s="6" t="s">
        <v>191</v>
      </c>
    </row>
    <row r="15" spans="2:10">
      <c r="C15" s="4"/>
      <c r="D15" s="35"/>
      <c r="E15" s="6"/>
      <c r="F15" s="6"/>
      <c r="I15" s="92" t="s">
        <v>190</v>
      </c>
    </row>
    <row r="16" spans="2:10" hidden="1">
      <c r="C16" s="4"/>
      <c r="D16" s="42"/>
      <c r="E16" s="59">
        <f>INT(LOG(D14/0.32767)+0.99999)</f>
        <v>-1</v>
      </c>
      <c r="F16" s="60" t="s">
        <v>203</v>
      </c>
      <c r="G16" s="6">
        <f>IF(D9&gt;3276700,0.001,IF(D9&gt;327670,0.01,IF(D9&gt;32767,0.1,1)))</f>
        <v>1</v>
      </c>
      <c r="I16" s="83"/>
    </row>
    <row r="17" spans="1:7">
      <c r="C17" s="4" t="s">
        <v>185</v>
      </c>
      <c r="D17" s="57">
        <f>IF(D14&gt;32767," too large ",IF(D14&gt;3.2767,INT(D14*10^(5-E16)+0.5),IF(D14&gt;0.32767,INT(D14*10^(4-E16)+0.5),IF(D14&gt;0.032767,INT(D14*10^(3-E16)+0.5),IF(D14&gt;0.0032767,INT(D14*10^(2-E16)+0.5),IF(D14&gt;0.001,INT(D14*10^(1-E16)+0.5),"too small"))))))</f>
        <v>20</v>
      </c>
      <c r="E17" s="39"/>
    </row>
    <row r="18" spans="1:7">
      <c r="C18" s="4" t="s">
        <v>235</v>
      </c>
      <c r="D18" s="57" t="str">
        <f>IF(D14&gt;32767," too large ",IF(D14&gt;3276.7,"&lt;blank&gt;",IF(D14&gt;327.67,". _ ",IF(D14&gt;32.767,". _ _ ",IF(D14&gt;0.001,". _ _ _ ","too small")))))</f>
        <v xml:space="preserve">. _ _ _ </v>
      </c>
      <c r="E18" s="51"/>
      <c r="F18" s="40"/>
    </row>
    <row r="19" spans="1:7">
      <c r="C19" s="4"/>
      <c r="D19" s="42"/>
      <c r="E19" s="39"/>
      <c r="F19" s="40"/>
    </row>
    <row r="20" spans="1:7">
      <c r="A20" s="6" t="s">
        <v>236</v>
      </c>
      <c r="B20" s="43"/>
      <c r="C20" s="44" t="s">
        <v>11</v>
      </c>
      <c r="D20" s="44" t="s">
        <v>10</v>
      </c>
      <c r="E20" s="62" t="s">
        <v>0</v>
      </c>
      <c r="F20" s="63" t="s">
        <v>1</v>
      </c>
    </row>
    <row r="21" spans="1:7">
      <c r="B21" s="45"/>
      <c r="C21" s="46"/>
      <c r="D21" s="46"/>
      <c r="E21" s="64" t="s">
        <v>9</v>
      </c>
      <c r="F21" s="65" t="s">
        <v>9</v>
      </c>
    </row>
    <row r="22" spans="1:7" ht="13.5">
      <c r="B22" s="43"/>
      <c r="C22" s="44">
        <v>1</v>
      </c>
      <c r="D22" s="44" t="s">
        <v>12</v>
      </c>
      <c r="E22" s="87" t="s">
        <v>231</v>
      </c>
      <c r="F22" s="76" t="s">
        <v>2</v>
      </c>
    </row>
    <row r="23" spans="1:7" ht="13.5">
      <c r="B23" s="47" t="s">
        <v>5</v>
      </c>
      <c r="C23" s="48">
        <v>2</v>
      </c>
      <c r="D23" s="48" t="s">
        <v>14</v>
      </c>
      <c r="E23" s="85" t="s">
        <v>226</v>
      </c>
      <c r="F23" s="77" t="s">
        <v>2</v>
      </c>
    </row>
    <row r="24" spans="1:7" ht="13.5">
      <c r="A24" s="6" t="s">
        <v>195</v>
      </c>
      <c r="B24" s="47" t="s">
        <v>6</v>
      </c>
      <c r="C24" s="48">
        <v>3</v>
      </c>
      <c r="D24" s="48" t="s">
        <v>216</v>
      </c>
      <c r="E24" s="85" t="s">
        <v>227</v>
      </c>
      <c r="F24" s="77" t="s">
        <v>2</v>
      </c>
      <c r="G24" s="6" t="s">
        <v>81</v>
      </c>
    </row>
    <row r="25" spans="1:7" ht="13.5">
      <c r="B25" s="47" t="s">
        <v>7</v>
      </c>
      <c r="C25" s="48">
        <v>4</v>
      </c>
      <c r="D25" s="48" t="s">
        <v>216</v>
      </c>
      <c r="E25" s="85" t="s">
        <v>228</v>
      </c>
      <c r="F25" s="77" t="s">
        <v>2</v>
      </c>
      <c r="G25" s="6" t="s">
        <v>82</v>
      </c>
    </row>
    <row r="26" spans="1:7" ht="13.5">
      <c r="B26" s="47" t="s">
        <v>8</v>
      </c>
      <c r="C26" s="48">
        <v>5</v>
      </c>
      <c r="D26" s="48" t="s">
        <v>216</v>
      </c>
      <c r="E26" s="85" t="s">
        <v>229</v>
      </c>
      <c r="F26" s="77" t="s">
        <v>2</v>
      </c>
    </row>
    <row r="27" spans="1:7" ht="13.5">
      <c r="B27" s="45"/>
      <c r="C27" s="48">
        <v>6</v>
      </c>
      <c r="D27" s="48" t="s">
        <v>216</v>
      </c>
      <c r="E27" s="86" t="s">
        <v>230</v>
      </c>
      <c r="F27" s="77" t="s">
        <v>2</v>
      </c>
      <c r="G27" s="6" t="s">
        <v>29</v>
      </c>
    </row>
    <row r="28" spans="1:7" ht="13.5">
      <c r="B28" s="43"/>
      <c r="C28" s="44">
        <v>11</v>
      </c>
      <c r="D28" s="44" t="s">
        <v>13</v>
      </c>
      <c r="E28" s="71" t="s">
        <v>4</v>
      </c>
      <c r="F28" s="76" t="s">
        <v>2</v>
      </c>
    </row>
    <row r="29" spans="1:7" ht="13.5">
      <c r="B29" s="47" t="s">
        <v>5</v>
      </c>
      <c r="C29" s="48">
        <v>12</v>
      </c>
      <c r="D29" s="48" t="s">
        <v>15</v>
      </c>
      <c r="E29" s="68" t="s">
        <v>208</v>
      </c>
      <c r="F29" s="77" t="s">
        <v>2</v>
      </c>
      <c r="G29" s="6" t="s">
        <v>276</v>
      </c>
    </row>
    <row r="30" spans="1:7" ht="13.5">
      <c r="B30" s="47" t="s">
        <v>16</v>
      </c>
      <c r="C30" s="48">
        <v>13</v>
      </c>
      <c r="D30" s="48" t="s">
        <v>15</v>
      </c>
      <c r="E30" s="68" t="s">
        <v>3</v>
      </c>
      <c r="F30" s="77" t="s">
        <v>2</v>
      </c>
      <c r="G30" s="6" t="s">
        <v>277</v>
      </c>
    </row>
    <row r="31" spans="1:7" ht="13.5">
      <c r="B31" s="47" t="s">
        <v>17</v>
      </c>
      <c r="C31" s="48">
        <v>14</v>
      </c>
      <c r="D31" s="48" t="s">
        <v>15</v>
      </c>
      <c r="E31" s="68" t="s">
        <v>209</v>
      </c>
      <c r="F31" s="77" t="s">
        <v>2</v>
      </c>
      <c r="G31" s="6" t="s">
        <v>278</v>
      </c>
    </row>
    <row r="32" spans="1:7">
      <c r="B32" s="47" t="s">
        <v>9</v>
      </c>
      <c r="C32" s="48">
        <v>15</v>
      </c>
      <c r="D32" s="48" t="s">
        <v>15</v>
      </c>
      <c r="E32" s="79" t="s">
        <v>2</v>
      </c>
      <c r="F32" s="77" t="s">
        <v>2</v>
      </c>
    </row>
    <row r="33" spans="1:9" ht="13.5">
      <c r="B33" s="43"/>
      <c r="C33" s="44">
        <v>16</v>
      </c>
      <c r="D33" s="44" t="s">
        <v>13</v>
      </c>
      <c r="E33" s="80" t="s">
        <v>2</v>
      </c>
      <c r="F33" s="88" t="s">
        <v>231</v>
      </c>
    </row>
    <row r="34" spans="1:9" ht="13.5">
      <c r="B34" s="47" t="s">
        <v>5</v>
      </c>
      <c r="C34" s="48">
        <v>17</v>
      </c>
      <c r="D34" s="48" t="s">
        <v>14</v>
      </c>
      <c r="E34" s="79" t="s">
        <v>2</v>
      </c>
      <c r="F34" s="89" t="s">
        <v>226</v>
      </c>
    </row>
    <row r="35" spans="1:9" ht="13.5">
      <c r="A35" s="6" t="s">
        <v>88</v>
      </c>
      <c r="B35" s="47" t="s">
        <v>19</v>
      </c>
      <c r="C35" s="48">
        <v>18</v>
      </c>
      <c r="D35" s="48" t="s">
        <v>216</v>
      </c>
      <c r="E35" s="79" t="s">
        <v>2</v>
      </c>
      <c r="F35" s="89" t="s">
        <v>227</v>
      </c>
      <c r="H35" s="6" t="s">
        <v>23</v>
      </c>
      <c r="I35" s="6" t="s">
        <v>26</v>
      </c>
    </row>
    <row r="36" spans="1:9" ht="13.5">
      <c r="A36" s="6" t="s">
        <v>89</v>
      </c>
      <c r="B36" s="47" t="s">
        <v>20</v>
      </c>
      <c r="C36" s="48">
        <v>19</v>
      </c>
      <c r="D36" s="48" t="s">
        <v>216</v>
      </c>
      <c r="E36" s="79" t="s">
        <v>2</v>
      </c>
      <c r="F36" s="89" t="s">
        <v>228</v>
      </c>
      <c r="H36" s="6" t="s">
        <v>24</v>
      </c>
      <c r="I36" s="6" t="s">
        <v>27</v>
      </c>
    </row>
    <row r="37" spans="1:9" ht="13.5">
      <c r="A37" s="52" t="s">
        <v>90</v>
      </c>
      <c r="B37" s="47" t="s">
        <v>21</v>
      </c>
      <c r="C37" s="48">
        <v>20</v>
      </c>
      <c r="D37" s="48" t="s">
        <v>216</v>
      </c>
      <c r="E37" s="79" t="s">
        <v>2</v>
      </c>
      <c r="F37" s="89" t="s">
        <v>229</v>
      </c>
      <c r="H37" s="6" t="s">
        <v>25</v>
      </c>
      <c r="I37" s="6" t="s">
        <v>28</v>
      </c>
    </row>
    <row r="38" spans="1:9" ht="13.5">
      <c r="B38" s="45"/>
      <c r="C38" s="46">
        <v>21</v>
      </c>
      <c r="D38" s="46" t="s">
        <v>216</v>
      </c>
      <c r="E38" s="81" t="s">
        <v>2</v>
      </c>
      <c r="F38" s="90" t="s">
        <v>230</v>
      </c>
      <c r="G38" s="6" t="s">
        <v>29</v>
      </c>
    </row>
    <row r="39" spans="1:9" ht="13.5">
      <c r="B39" s="43"/>
      <c r="C39" s="44">
        <v>26</v>
      </c>
      <c r="D39" s="44" t="s">
        <v>13</v>
      </c>
      <c r="E39" s="66"/>
      <c r="F39" s="73" t="s">
        <v>4</v>
      </c>
    </row>
    <row r="40" spans="1:9" ht="13.5">
      <c r="B40" s="47" t="s">
        <v>5</v>
      </c>
      <c r="C40" s="48">
        <v>27</v>
      </c>
      <c r="D40" s="48" t="s">
        <v>15</v>
      </c>
      <c r="E40" s="67"/>
      <c r="F40" s="72" t="s">
        <v>208</v>
      </c>
      <c r="G40" s="6" t="s">
        <v>273</v>
      </c>
    </row>
    <row r="41" spans="1:9" ht="13.5">
      <c r="B41" s="47" t="s">
        <v>16</v>
      </c>
      <c r="C41" s="48">
        <v>28</v>
      </c>
      <c r="D41" s="48" t="s">
        <v>15</v>
      </c>
      <c r="E41" s="67"/>
      <c r="F41" s="72" t="s">
        <v>3</v>
      </c>
      <c r="G41" s="6" t="s">
        <v>274</v>
      </c>
    </row>
    <row r="42" spans="1:9" ht="13.5">
      <c r="B42" s="47" t="s">
        <v>22</v>
      </c>
      <c r="C42" s="48">
        <v>29</v>
      </c>
      <c r="D42" s="48" t="s">
        <v>15</v>
      </c>
      <c r="E42" s="67"/>
      <c r="F42" s="72" t="s">
        <v>209</v>
      </c>
      <c r="G42" s="6" t="s">
        <v>275</v>
      </c>
    </row>
    <row r="43" spans="1:9" ht="13.5">
      <c r="B43" s="45"/>
      <c r="C43" s="46">
        <v>30</v>
      </c>
      <c r="D43" s="46" t="s">
        <v>15</v>
      </c>
      <c r="E43" s="69"/>
      <c r="F43" s="78" t="s">
        <v>2</v>
      </c>
    </row>
    <row r="44" spans="1:9" ht="13.5">
      <c r="B44" s="53"/>
      <c r="C44" s="54">
        <v>31</v>
      </c>
      <c r="D44" s="54" t="s">
        <v>13</v>
      </c>
      <c r="E44" s="74" t="s">
        <v>18</v>
      </c>
      <c r="F44" s="75">
        <v>0</v>
      </c>
    </row>
    <row r="45" spans="1:9" ht="13.5">
      <c r="B45" s="53" t="s">
        <v>196</v>
      </c>
      <c r="C45" s="54">
        <v>32</v>
      </c>
      <c r="D45" s="54" t="s">
        <v>197</v>
      </c>
      <c r="E45" s="130">
        <f>D11*G16</f>
        <v>3032</v>
      </c>
      <c r="F45" s="129">
        <f>D14</f>
        <v>1.9788918205804751E-2</v>
      </c>
    </row>
  </sheetData>
  <phoneticPr fontId="0" type="noConversion"/>
  <pageMargins left="0.75" right="0.75" top="1" bottom="1" header="0.5" footer="0.5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3" name="Drop Down 7">
              <controlPr defaultSize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4" name="Drop Down 8">
              <controlPr defaultSize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Drop Down 11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56"/>
  <sheetViews>
    <sheetView workbookViewId="0"/>
  </sheetViews>
  <sheetFormatPr defaultRowHeight="12.75"/>
  <cols>
    <col min="1" max="1" width="14.42578125" style="6" customWidth="1"/>
    <col min="2" max="2" width="14.28515625" style="6" customWidth="1"/>
    <col min="3" max="3" width="4.5703125" style="6" bestFit="1" customWidth="1"/>
    <col min="4" max="4" width="22.7109375" style="6" bestFit="1" customWidth="1"/>
    <col min="5" max="6" width="16.140625" style="38" customWidth="1"/>
    <col min="7" max="7" width="7.28515625" style="6" customWidth="1"/>
    <col min="8" max="8" width="16.28515625" style="6" bestFit="1" customWidth="1"/>
    <col min="9" max="9" width="13.85546875" style="6" customWidth="1"/>
    <col min="10" max="10" width="12.85546875" style="6" customWidth="1"/>
    <col min="11" max="16384" width="9.140625" style="6"/>
  </cols>
  <sheetData>
    <row r="2" spans="1:10">
      <c r="B2" s="6" t="s">
        <v>30</v>
      </c>
    </row>
    <row r="3" spans="1:10" ht="13.5" thickBot="1">
      <c r="I3" s="6" t="s">
        <v>178</v>
      </c>
    </row>
    <row r="4" spans="1:10" ht="16.5" customHeight="1" thickBot="1">
      <c r="C4" s="4" t="s">
        <v>100</v>
      </c>
      <c r="D4" s="5">
        <v>1024</v>
      </c>
      <c r="E4" s="39" t="s">
        <v>101</v>
      </c>
      <c r="F4" s="6">
        <v>3</v>
      </c>
      <c r="I4" s="50">
        <f>VLOOKUP(volume_from,volume,2)</f>
        <v>1</v>
      </c>
      <c r="J4" s="40" t="str">
        <f>VLOOKUP(volume_from,volume,4)&amp;" / M3"</f>
        <v>M3 / M3</v>
      </c>
    </row>
    <row r="5" spans="1:10">
      <c r="F5" s="6"/>
      <c r="I5" s="40"/>
      <c r="J5" s="40"/>
    </row>
    <row r="6" spans="1:10" ht="16.5" customHeight="1">
      <c r="C6" s="4" t="s">
        <v>179</v>
      </c>
      <c r="F6" s="6">
        <v>4</v>
      </c>
      <c r="I6" s="50">
        <f>VLOOKUP(volume_to,volume,2)</f>
        <v>1000</v>
      </c>
      <c r="J6" s="40" t="str">
        <f>VLOOKUP(volume_to,volume,4)&amp;" / M3"</f>
        <v>litre / M3</v>
      </c>
    </row>
    <row r="7" spans="1:10" ht="16.5" customHeight="1">
      <c r="C7" s="4" t="s">
        <v>180</v>
      </c>
      <c r="E7" s="55" t="str">
        <f>VLOOKUP(volume_to,volume,4)&amp;" / "</f>
        <v xml:space="preserve">litre / </v>
      </c>
      <c r="F7" s="6">
        <v>2</v>
      </c>
      <c r="I7" s="50">
        <f>VLOOKUP(time_to,time,2)</f>
        <v>60</v>
      </c>
      <c r="J7" s="40" t="s">
        <v>186</v>
      </c>
    </row>
    <row r="9" spans="1:10">
      <c r="B9" s="41"/>
      <c r="C9" s="36" t="s">
        <v>238</v>
      </c>
      <c r="D9" s="37">
        <f>IF(D11=F25,D4/VLOOKUP(volume_to,volume,2)*VLOOKUP(volume_from,volume,2),D4/VLOOKUP(13,volume,2)*VLOOKUP(volume_from,volume,2))</f>
        <v>3.8762616668160002</v>
      </c>
      <c r="E9" s="39" t="s">
        <v>101</v>
      </c>
      <c r="F9" s="50" t="str">
        <f>IF(D11=F25,VLOOKUP(volume_to,volume,4),"USG")</f>
        <v>USG</v>
      </c>
    </row>
    <row r="10" spans="1:10">
      <c r="C10" s="4"/>
    </row>
    <row r="11" spans="1:10" ht="13.5">
      <c r="C11" s="4" t="s">
        <v>240</v>
      </c>
      <c r="D11" s="116" t="str">
        <f>IF(volume_to=11,F21,IF(volume_to=13,F22,IF(volume_to=3,F23,IF(volume_to=4,F24,F25))))</f>
        <v>LitEr</v>
      </c>
    </row>
    <row r="12" spans="1:10">
      <c r="C12" s="119" t="str">
        <f>IF(D11=F25,"Enter Divisor (Ent.diU)","")</f>
        <v/>
      </c>
      <c r="D12" s="91" t="str">
        <f>IF(D11=F25,D4/VLOOKUP(volume_to,volume,2)*VLOOKUP(volume_from,volume,2),"")</f>
        <v/>
      </c>
      <c r="E12" s="118" t="str">
        <f>IF(D11=F25,"pulses / ","")</f>
        <v/>
      </c>
      <c r="F12" s="50" t="str">
        <f>IF(D11=F25,VLOOKUP(volume_to,volume,4),"")</f>
        <v/>
      </c>
    </row>
    <row r="13" spans="1:10">
      <c r="C13" s="4"/>
      <c r="D13" s="35"/>
      <c r="E13" s="39"/>
      <c r="F13" s="61"/>
    </row>
    <row r="14" spans="1:10" ht="13.5">
      <c r="C14" s="4" t="s">
        <v>239</v>
      </c>
      <c r="D14" s="117" t="str">
        <f>IF(AND(volume_to=11,time_to=4),F34,IF(AND(volume_to=13,time_to=2),F35,IF(AND(volume_to=3,time_to=4),F36,IF(AND(volume_to=4,time_to=2),F37,IF(time_to=4,F38,IF(time_to=3,F39,IF(time_to=2,F40,F41)))))))</f>
        <v>Lit.P.nn</v>
      </c>
      <c r="E14" s="39"/>
      <c r="F14" s="40"/>
    </row>
    <row r="15" spans="1:10">
      <c r="C15" s="4"/>
      <c r="D15" s="42"/>
      <c r="E15" s="39"/>
      <c r="F15" s="40"/>
    </row>
    <row r="16" spans="1:10">
      <c r="A16" s="6" t="s">
        <v>236</v>
      </c>
      <c r="B16" s="43"/>
      <c r="C16" s="44" t="s">
        <v>11</v>
      </c>
      <c r="D16" s="44" t="s">
        <v>10</v>
      </c>
      <c r="E16" s="62" t="s">
        <v>0</v>
      </c>
      <c r="F16" s="63" t="s">
        <v>1</v>
      </c>
    </row>
    <row r="17" spans="2:10">
      <c r="B17" s="45"/>
      <c r="C17" s="46"/>
      <c r="D17" s="46"/>
      <c r="E17" s="64" t="s">
        <v>9</v>
      </c>
      <c r="F17" s="65" t="s">
        <v>9</v>
      </c>
    </row>
    <row r="18" spans="2:10" ht="13.5">
      <c r="B18" s="43"/>
      <c r="C18" s="44"/>
      <c r="D18" s="44"/>
      <c r="E18" s="93" t="s">
        <v>31</v>
      </c>
      <c r="F18" s="94" t="s">
        <v>32</v>
      </c>
    </row>
    <row r="19" spans="2:10" ht="13.5">
      <c r="B19" s="47"/>
      <c r="C19" s="48">
        <v>1</v>
      </c>
      <c r="D19" s="48" t="s">
        <v>33</v>
      </c>
      <c r="E19" s="95" t="s">
        <v>37</v>
      </c>
      <c r="F19" s="96" t="s">
        <v>37</v>
      </c>
      <c r="G19" s="6" t="s">
        <v>36</v>
      </c>
    </row>
    <row r="20" spans="2:10" ht="13.5">
      <c r="B20" s="47" t="s">
        <v>5</v>
      </c>
      <c r="C20" s="48"/>
      <c r="D20" s="48"/>
      <c r="E20" s="95" t="s">
        <v>225</v>
      </c>
      <c r="F20" s="77" t="s">
        <v>2</v>
      </c>
      <c r="G20" s="6" t="s">
        <v>36</v>
      </c>
    </row>
    <row r="21" spans="2:10" ht="13.5">
      <c r="B21" s="47" t="s">
        <v>0</v>
      </c>
      <c r="C21" s="48"/>
      <c r="D21" s="48"/>
      <c r="E21" s="95" t="s">
        <v>34</v>
      </c>
      <c r="F21" s="96" t="s">
        <v>40</v>
      </c>
      <c r="G21" s="6" t="s">
        <v>44</v>
      </c>
      <c r="I21" s="6" t="s">
        <v>212</v>
      </c>
    </row>
    <row r="22" spans="2:10" ht="13.5">
      <c r="B22" s="47" t="s">
        <v>76</v>
      </c>
      <c r="C22" s="48"/>
      <c r="D22" s="48" t="s">
        <v>14</v>
      </c>
      <c r="E22" s="95" t="s">
        <v>34</v>
      </c>
      <c r="F22" s="96" t="s">
        <v>41</v>
      </c>
      <c r="G22" s="97" t="s">
        <v>204</v>
      </c>
      <c r="I22" s="6" t="s">
        <v>213</v>
      </c>
    </row>
    <row r="23" spans="2:10" ht="13.5">
      <c r="B23" s="47"/>
      <c r="C23" s="48"/>
      <c r="D23" s="48" t="s">
        <v>14</v>
      </c>
      <c r="E23" s="95" t="s">
        <v>34</v>
      </c>
      <c r="F23" s="96" t="s">
        <v>35</v>
      </c>
      <c r="G23" s="97" t="s">
        <v>205</v>
      </c>
      <c r="I23" s="98" t="s">
        <v>0</v>
      </c>
      <c r="J23" s="63" t="s">
        <v>1</v>
      </c>
    </row>
    <row r="24" spans="2:10" ht="13.5">
      <c r="B24" s="47"/>
      <c r="C24" s="48"/>
      <c r="D24" s="48" t="s">
        <v>14</v>
      </c>
      <c r="E24" s="95" t="s">
        <v>34</v>
      </c>
      <c r="F24" s="96" t="s">
        <v>38</v>
      </c>
      <c r="G24" s="97" t="s">
        <v>206</v>
      </c>
      <c r="I24" s="99" t="s">
        <v>9</v>
      </c>
      <c r="J24" s="65" t="s">
        <v>9</v>
      </c>
    </row>
    <row r="25" spans="2:10" ht="13.5">
      <c r="B25" s="45"/>
      <c r="C25" s="46"/>
      <c r="D25" s="46" t="s">
        <v>14</v>
      </c>
      <c r="E25" s="100" t="s">
        <v>34</v>
      </c>
      <c r="F25" s="101" t="s">
        <v>39</v>
      </c>
      <c r="G25" s="97" t="s">
        <v>211</v>
      </c>
      <c r="I25" s="102" t="s">
        <v>207</v>
      </c>
      <c r="J25" s="103" t="s">
        <v>210</v>
      </c>
    </row>
    <row r="26" spans="2:10" ht="13.5">
      <c r="B26" s="43"/>
      <c r="C26" s="44">
        <v>2</v>
      </c>
      <c r="D26" s="44" t="s">
        <v>13</v>
      </c>
      <c r="E26" s="104" t="s">
        <v>42</v>
      </c>
      <c r="F26" s="94" t="s">
        <v>217</v>
      </c>
      <c r="G26" s="6" t="s">
        <v>43</v>
      </c>
    </row>
    <row r="27" spans="2:10" ht="13.5">
      <c r="B27" s="47"/>
      <c r="C27" s="48"/>
      <c r="D27" s="105" t="s">
        <v>15</v>
      </c>
      <c r="E27" s="95" t="s">
        <v>42</v>
      </c>
      <c r="F27" s="106" t="s">
        <v>218</v>
      </c>
    </row>
    <row r="28" spans="2:10" ht="13.5">
      <c r="B28" s="47" t="s">
        <v>5</v>
      </c>
      <c r="C28" s="48"/>
      <c r="D28" s="105" t="s">
        <v>14</v>
      </c>
      <c r="E28" s="95" t="s">
        <v>42</v>
      </c>
      <c r="F28" s="106" t="s">
        <v>219</v>
      </c>
    </row>
    <row r="29" spans="2:10" ht="13.5">
      <c r="B29" s="47" t="s">
        <v>6</v>
      </c>
      <c r="C29" s="48"/>
      <c r="D29" s="48" t="s">
        <v>216</v>
      </c>
      <c r="E29" s="95" t="s">
        <v>42</v>
      </c>
      <c r="F29" s="106" t="s">
        <v>224</v>
      </c>
      <c r="G29" s="6" t="s">
        <v>45</v>
      </c>
    </row>
    <row r="30" spans="2:10" ht="13.5">
      <c r="B30" s="47" t="s">
        <v>215</v>
      </c>
      <c r="C30" s="48"/>
      <c r="D30" s="48" t="s">
        <v>216</v>
      </c>
      <c r="E30" s="95" t="s">
        <v>42</v>
      </c>
      <c r="F30" s="106" t="s">
        <v>220</v>
      </c>
      <c r="G30" s="6" t="s">
        <v>45</v>
      </c>
    </row>
    <row r="31" spans="2:10" ht="13.5">
      <c r="B31" s="47" t="s">
        <v>237</v>
      </c>
      <c r="C31" s="48"/>
      <c r="D31" s="48" t="s">
        <v>216</v>
      </c>
      <c r="E31" s="95" t="s">
        <v>42</v>
      </c>
      <c r="F31" s="106" t="s">
        <v>221</v>
      </c>
      <c r="G31" s="6" t="s">
        <v>45</v>
      </c>
    </row>
    <row r="32" spans="2:10" ht="13.5">
      <c r="B32" s="47"/>
      <c r="C32" s="48"/>
      <c r="D32" s="48" t="s">
        <v>216</v>
      </c>
      <c r="E32" s="95" t="s">
        <v>42</v>
      </c>
      <c r="F32" s="106" t="s">
        <v>222</v>
      </c>
      <c r="G32" s="6" t="s">
        <v>45</v>
      </c>
    </row>
    <row r="33" spans="1:7" ht="13.5">
      <c r="B33" s="47"/>
      <c r="C33" s="48"/>
      <c r="D33" s="48" t="s">
        <v>216</v>
      </c>
      <c r="E33" s="95" t="s">
        <v>42</v>
      </c>
      <c r="F33" s="107" t="s">
        <v>223</v>
      </c>
      <c r="G33" s="6" t="s">
        <v>45</v>
      </c>
    </row>
    <row r="34" spans="1:7" ht="13.5">
      <c r="A34" s="52"/>
      <c r="B34" s="43"/>
      <c r="C34" s="44">
        <v>3</v>
      </c>
      <c r="D34" s="44" t="s">
        <v>13</v>
      </c>
      <c r="E34" s="104" t="s">
        <v>47</v>
      </c>
      <c r="F34" s="108" t="s">
        <v>54</v>
      </c>
      <c r="G34" s="6" t="s">
        <v>62</v>
      </c>
    </row>
    <row r="35" spans="1:7" ht="13.5">
      <c r="B35" s="47" t="s">
        <v>5</v>
      </c>
      <c r="C35" s="48"/>
      <c r="D35" s="48" t="s">
        <v>14</v>
      </c>
      <c r="E35" s="95" t="s">
        <v>47</v>
      </c>
      <c r="F35" s="96" t="s">
        <v>55</v>
      </c>
      <c r="G35" s="6" t="s">
        <v>63</v>
      </c>
    </row>
    <row r="36" spans="1:7" ht="13.5">
      <c r="B36" s="47" t="s">
        <v>1</v>
      </c>
      <c r="C36" s="48"/>
      <c r="D36" s="48" t="s">
        <v>14</v>
      </c>
      <c r="E36" s="95" t="s">
        <v>47</v>
      </c>
      <c r="F36" s="96" t="s">
        <v>48</v>
      </c>
      <c r="G36" s="6" t="s">
        <v>56</v>
      </c>
    </row>
    <row r="37" spans="1:7" ht="13.5">
      <c r="B37" s="47" t="s">
        <v>214</v>
      </c>
      <c r="C37" s="48"/>
      <c r="D37" s="48" t="s">
        <v>14</v>
      </c>
      <c r="E37" s="95" t="s">
        <v>47</v>
      </c>
      <c r="F37" s="96" t="s">
        <v>49</v>
      </c>
      <c r="G37" s="6" t="s">
        <v>57</v>
      </c>
    </row>
    <row r="38" spans="1:7" ht="13.5">
      <c r="B38" s="47" t="s">
        <v>76</v>
      </c>
      <c r="C38" s="48"/>
      <c r="D38" s="48" t="s">
        <v>14</v>
      </c>
      <c r="E38" s="95" t="s">
        <v>47</v>
      </c>
      <c r="F38" s="96" t="s">
        <v>50</v>
      </c>
      <c r="G38" s="6" t="s">
        <v>58</v>
      </c>
    </row>
    <row r="39" spans="1:7" ht="13.5">
      <c r="B39" s="47"/>
      <c r="C39" s="48"/>
      <c r="D39" s="48" t="s">
        <v>14</v>
      </c>
      <c r="E39" s="95" t="s">
        <v>47</v>
      </c>
      <c r="F39" s="96" t="s">
        <v>51</v>
      </c>
      <c r="G39" s="6" t="s">
        <v>59</v>
      </c>
    </row>
    <row r="40" spans="1:7" ht="13.5">
      <c r="B40" s="47"/>
      <c r="C40" s="48"/>
      <c r="D40" s="48" t="s">
        <v>14</v>
      </c>
      <c r="E40" s="95" t="s">
        <v>47</v>
      </c>
      <c r="F40" s="96" t="s">
        <v>52</v>
      </c>
      <c r="G40" s="6" t="s">
        <v>60</v>
      </c>
    </row>
    <row r="41" spans="1:7" ht="13.5">
      <c r="B41" s="45"/>
      <c r="C41" s="46"/>
      <c r="D41" s="46" t="s">
        <v>14</v>
      </c>
      <c r="E41" s="100" t="s">
        <v>47</v>
      </c>
      <c r="F41" s="101" t="s">
        <v>53</v>
      </c>
      <c r="G41" s="6" t="s">
        <v>61</v>
      </c>
    </row>
    <row r="42" spans="1:7" ht="13.5">
      <c r="B42" s="43"/>
      <c r="C42" s="44">
        <v>6</v>
      </c>
      <c r="D42" s="44" t="s">
        <v>13</v>
      </c>
      <c r="E42" s="104" t="s">
        <v>64</v>
      </c>
      <c r="F42" s="108" t="s">
        <v>65</v>
      </c>
    </row>
    <row r="43" spans="1:7" ht="13.5">
      <c r="B43" s="47" t="s">
        <v>5</v>
      </c>
      <c r="C43" s="48"/>
      <c r="D43" s="48" t="s">
        <v>14</v>
      </c>
      <c r="E43" s="95" t="s">
        <v>64</v>
      </c>
      <c r="F43" s="106" t="s">
        <v>66</v>
      </c>
    </row>
    <row r="44" spans="1:7" ht="13.5">
      <c r="B44" s="47" t="s">
        <v>77</v>
      </c>
      <c r="C44" s="48"/>
      <c r="D44" s="48" t="s">
        <v>14</v>
      </c>
      <c r="E44" s="95" t="s">
        <v>64</v>
      </c>
      <c r="F44" s="106" t="s">
        <v>67</v>
      </c>
    </row>
    <row r="45" spans="1:7" ht="13.5">
      <c r="B45" s="47" t="s">
        <v>78</v>
      </c>
      <c r="C45" s="48"/>
      <c r="D45" s="48" t="s">
        <v>14</v>
      </c>
      <c r="E45" s="95" t="s">
        <v>64</v>
      </c>
      <c r="F45" s="106" t="s">
        <v>68</v>
      </c>
    </row>
    <row r="46" spans="1:7" ht="13.5">
      <c r="B46" s="47"/>
      <c r="C46" s="48"/>
      <c r="D46" s="48" t="s">
        <v>14</v>
      </c>
      <c r="E46" s="95" t="s">
        <v>64</v>
      </c>
      <c r="F46" s="106" t="s">
        <v>69</v>
      </c>
    </row>
    <row r="47" spans="1:7" ht="13.5">
      <c r="B47" s="47"/>
      <c r="C47" s="48"/>
      <c r="D47" s="48" t="s">
        <v>14</v>
      </c>
      <c r="E47" s="95" t="s">
        <v>64</v>
      </c>
      <c r="F47" s="106" t="s">
        <v>70</v>
      </c>
    </row>
    <row r="48" spans="1:7" ht="13.5">
      <c r="B48" s="45"/>
      <c r="C48" s="46"/>
      <c r="D48" s="46" t="s">
        <v>14</v>
      </c>
      <c r="E48" s="100" t="s">
        <v>64</v>
      </c>
      <c r="F48" s="103" t="s">
        <v>71</v>
      </c>
    </row>
    <row r="49" spans="2:7" ht="13.5">
      <c r="B49" s="43" t="s">
        <v>79</v>
      </c>
      <c r="C49" s="44">
        <v>7</v>
      </c>
      <c r="D49" s="44" t="s">
        <v>13</v>
      </c>
      <c r="E49" s="104" t="s">
        <v>72</v>
      </c>
      <c r="F49" s="108" t="s">
        <v>73</v>
      </c>
    </row>
    <row r="50" spans="2:7" ht="13.5">
      <c r="B50" s="47" t="s">
        <v>80</v>
      </c>
      <c r="C50" s="48"/>
      <c r="D50" s="48" t="s">
        <v>14</v>
      </c>
      <c r="E50" s="95" t="s">
        <v>72</v>
      </c>
      <c r="F50" s="96" t="s">
        <v>74</v>
      </c>
    </row>
    <row r="51" spans="2:7" ht="13.5">
      <c r="B51" s="47"/>
      <c r="C51" s="48"/>
      <c r="D51" s="48" t="s">
        <v>14</v>
      </c>
      <c r="E51" s="95" t="s">
        <v>72</v>
      </c>
      <c r="F51" s="106" t="s">
        <v>46</v>
      </c>
    </row>
    <row r="52" spans="2:7" ht="13.5">
      <c r="B52" s="43"/>
      <c r="C52" s="44">
        <v>8</v>
      </c>
      <c r="D52" s="44" t="s">
        <v>13</v>
      </c>
      <c r="E52" s="80" t="s">
        <v>2</v>
      </c>
      <c r="F52" s="108" t="s">
        <v>75</v>
      </c>
      <c r="G52" s="6" t="s">
        <v>36</v>
      </c>
    </row>
    <row r="53" spans="2:7" ht="13.5">
      <c r="B53" s="47"/>
      <c r="C53" s="48"/>
      <c r="D53" s="48"/>
      <c r="E53" s="109" t="s">
        <v>86</v>
      </c>
      <c r="F53" s="106" t="s">
        <v>32</v>
      </c>
    </row>
    <row r="54" spans="2:7" ht="13.5">
      <c r="B54" s="47" t="s">
        <v>84</v>
      </c>
      <c r="C54" s="48"/>
      <c r="D54" s="48" t="s">
        <v>83</v>
      </c>
      <c r="E54" s="109" t="s">
        <v>31</v>
      </c>
      <c r="F54" s="106" t="s">
        <v>32</v>
      </c>
    </row>
    <row r="55" spans="2:7" ht="13.5">
      <c r="B55" s="47" t="s">
        <v>85</v>
      </c>
      <c r="C55" s="48"/>
      <c r="D55" s="48" t="s">
        <v>83</v>
      </c>
      <c r="E55" s="109" t="s">
        <v>87</v>
      </c>
      <c r="F55" s="106" t="s">
        <v>32</v>
      </c>
    </row>
    <row r="56" spans="2:7" ht="13.5">
      <c r="B56" s="45" t="s">
        <v>0</v>
      </c>
      <c r="C56" s="46"/>
      <c r="D56" s="46" t="s">
        <v>83</v>
      </c>
      <c r="E56" s="110" t="s">
        <v>32</v>
      </c>
      <c r="F56" s="103" t="s">
        <v>32</v>
      </c>
    </row>
  </sheetData>
  <phoneticPr fontId="1" type="noConversion"/>
  <pageMargins left="0.75" right="0.75" top="1" bottom="1" header="0.5" footer="0.5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0" r:id="rId3" name="Drop Down 8">
              <controlPr defaultSize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4" name="Drop Down 9">
              <controlPr defaultSize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Drop Down 10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T59"/>
  <sheetViews>
    <sheetView workbookViewId="0"/>
  </sheetViews>
  <sheetFormatPr defaultRowHeight="12.75"/>
  <cols>
    <col min="1" max="1" width="2" style="1" bestFit="1" customWidth="1"/>
    <col min="2" max="2" width="21.28515625" style="2" customWidth="1"/>
    <col min="3" max="3" width="3.140625" style="1" bestFit="1" customWidth="1"/>
    <col min="4" max="4" width="22.42578125" style="1" customWidth="1"/>
    <col min="5" max="5" width="15.42578125" style="1" bestFit="1" customWidth="1"/>
    <col min="6" max="6" width="8.85546875" style="1" bestFit="1" customWidth="1"/>
    <col min="7" max="7" width="2" style="1" bestFit="1" customWidth="1"/>
    <col min="8" max="8" width="9.140625" style="1"/>
    <col min="9" max="9" width="11.85546875" style="1" customWidth="1"/>
    <col min="10" max="10" width="24.7109375" style="1" customWidth="1"/>
    <col min="11" max="19" width="11.85546875" style="1" customWidth="1"/>
    <col min="20" max="20" width="13.85546875" style="1" customWidth="1"/>
    <col min="21" max="16384" width="9.140625" style="1"/>
  </cols>
  <sheetData>
    <row r="1" spans="2:20" ht="13.5" thickBot="1"/>
    <row r="2" spans="2:20" ht="13.5" thickBot="1">
      <c r="B2" s="7" t="s">
        <v>99</v>
      </c>
      <c r="C2" s="8">
        <v>1</v>
      </c>
      <c r="D2" s="9">
        <f>D3/1000</f>
        <v>9.9999999999999995E-7</v>
      </c>
      <c r="E2" s="10" t="s">
        <v>102</v>
      </c>
      <c r="F2" s="11" t="s">
        <v>103</v>
      </c>
      <c r="I2" s="6" t="s">
        <v>289</v>
      </c>
      <c r="J2" s="6"/>
      <c r="K2" s="6"/>
      <c r="L2" s="6"/>
      <c r="M2" s="6"/>
      <c r="N2" s="6"/>
      <c r="O2" s="6"/>
      <c r="P2" s="6"/>
      <c r="Q2" s="6"/>
      <c r="R2" s="6"/>
    </row>
    <row r="3" spans="2:20">
      <c r="B3" s="13">
        <f>1/D3</f>
        <v>1000</v>
      </c>
      <c r="C3" s="14">
        <f t="shared" ref="C3:C37" si="0">C2+1</f>
        <v>2</v>
      </c>
      <c r="D3" s="15">
        <f>D4/1000</f>
        <v>1E-3</v>
      </c>
      <c r="E3" s="1" t="s">
        <v>104</v>
      </c>
      <c r="F3" s="16" t="s">
        <v>105</v>
      </c>
      <c r="I3" s="6"/>
      <c r="J3" s="6"/>
      <c r="K3" s="6"/>
      <c r="L3" s="6"/>
      <c r="M3" s="6"/>
      <c r="N3" s="6"/>
      <c r="O3" s="6"/>
      <c r="P3" s="6"/>
      <c r="Q3" s="6"/>
      <c r="R3" s="6"/>
      <c r="S3"/>
      <c r="T3"/>
    </row>
    <row r="4" spans="2:20">
      <c r="B4" s="13"/>
      <c r="C4" s="14">
        <f t="shared" si="0"/>
        <v>3</v>
      </c>
      <c r="D4" s="18">
        <v>1</v>
      </c>
      <c r="E4" s="1" t="s">
        <v>106</v>
      </c>
      <c r="F4" s="16" t="s">
        <v>107</v>
      </c>
      <c r="T4"/>
    </row>
    <row r="5" spans="2:20">
      <c r="B5" s="13"/>
      <c r="C5" s="14">
        <f t="shared" si="0"/>
        <v>4</v>
      </c>
      <c r="D5" s="15">
        <f>D4*1000</f>
        <v>1000</v>
      </c>
      <c r="E5" s="1" t="s">
        <v>108</v>
      </c>
      <c r="F5" s="16" t="s">
        <v>108</v>
      </c>
      <c r="I5" s="134">
        <v>42111</v>
      </c>
      <c r="J5" s="6" t="s">
        <v>290</v>
      </c>
      <c r="K5" s="1" t="s">
        <v>291</v>
      </c>
      <c r="L5" s="6"/>
      <c r="M5" s="6"/>
      <c r="N5" s="6"/>
      <c r="O5" s="6"/>
      <c r="P5" s="6"/>
      <c r="Q5" s="6"/>
      <c r="T5"/>
    </row>
    <row r="6" spans="2:20">
      <c r="B6" s="13"/>
      <c r="C6" s="14">
        <f t="shared" si="0"/>
        <v>5</v>
      </c>
      <c r="D6" s="19">
        <f>D5*1000</f>
        <v>1000000</v>
      </c>
      <c r="E6" s="3" t="s">
        <v>109</v>
      </c>
      <c r="F6" s="20" t="s">
        <v>110</v>
      </c>
    </row>
    <row r="7" spans="2:20">
      <c r="B7" s="13">
        <f t="shared" ref="B7:B13" si="1">1/D7</f>
        <v>28316.846591999998</v>
      </c>
      <c r="C7" s="14">
        <f t="shared" si="0"/>
        <v>6</v>
      </c>
      <c r="D7" s="21">
        <f>D8/1000</f>
        <v>3.5314666721488593E-5</v>
      </c>
      <c r="E7" s="1" t="s">
        <v>111</v>
      </c>
      <c r="F7" s="16" t="s">
        <v>112</v>
      </c>
      <c r="I7" s="134">
        <v>42075</v>
      </c>
      <c r="J7" s="6" t="s">
        <v>285</v>
      </c>
      <c r="K7" s="1" t="s">
        <v>284</v>
      </c>
      <c r="L7" s="6"/>
      <c r="M7" s="6"/>
      <c r="N7" s="6"/>
      <c r="O7" s="6"/>
      <c r="P7" s="6"/>
      <c r="Q7" s="6"/>
      <c r="R7" s="6"/>
    </row>
    <row r="8" spans="2:20">
      <c r="B8" s="13">
        <f t="shared" si="1"/>
        <v>28.316846591999997</v>
      </c>
      <c r="C8" s="14">
        <f t="shared" si="0"/>
        <v>7</v>
      </c>
      <c r="D8" s="22">
        <f>D9/1000</f>
        <v>3.5314666721488593E-2</v>
      </c>
      <c r="E8" s="1" t="s">
        <v>113</v>
      </c>
      <c r="F8" s="16" t="s">
        <v>114</v>
      </c>
      <c r="I8" s="6"/>
      <c r="J8" s="6"/>
      <c r="K8" s="6"/>
      <c r="L8" s="6"/>
      <c r="M8" s="6"/>
      <c r="N8" s="6"/>
      <c r="O8" s="6"/>
      <c r="P8" s="6"/>
      <c r="Q8" s="6"/>
      <c r="R8" s="6"/>
    </row>
    <row r="9" spans="2:20">
      <c r="B9" s="13">
        <f t="shared" si="1"/>
        <v>2.8316846591999997E-2</v>
      </c>
      <c r="C9" s="14">
        <f t="shared" si="0"/>
        <v>8</v>
      </c>
      <c r="D9" s="23">
        <f>D11/12^3</f>
        <v>35.314666721488592</v>
      </c>
      <c r="E9" s="1" t="s">
        <v>115</v>
      </c>
      <c r="F9" s="16" t="s">
        <v>116</v>
      </c>
      <c r="I9" s="6"/>
      <c r="J9" s="6"/>
      <c r="K9" s="6"/>
      <c r="L9" s="6"/>
      <c r="M9" s="6"/>
      <c r="N9" s="6"/>
      <c r="O9" s="6"/>
      <c r="P9" s="6"/>
      <c r="Q9" s="6"/>
      <c r="R9" s="6"/>
    </row>
    <row r="10" spans="2:20">
      <c r="B10" s="13">
        <f t="shared" si="1"/>
        <v>0.76455485798399991</v>
      </c>
      <c r="C10" s="14">
        <f t="shared" si="0"/>
        <v>9</v>
      </c>
      <c r="D10" s="13">
        <f>D9/27</f>
        <v>1.3079506193143924</v>
      </c>
      <c r="E10" s="1" t="s">
        <v>117</v>
      </c>
      <c r="F10" s="16" t="s">
        <v>118</v>
      </c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2:20">
      <c r="B11" s="13">
        <f t="shared" si="1"/>
        <v>1.6387063999999999E-5</v>
      </c>
      <c r="C11" s="14">
        <f t="shared" si="0"/>
        <v>10</v>
      </c>
      <c r="D11" s="24">
        <f>D6/2.54^3</f>
        <v>61023.74409473229</v>
      </c>
      <c r="E11" s="3" t="s">
        <v>119</v>
      </c>
      <c r="F11" s="20" t="s">
        <v>120</v>
      </c>
      <c r="I11" s="134">
        <v>39224</v>
      </c>
      <c r="J11" s="6" t="s">
        <v>283</v>
      </c>
      <c r="K11" s="6" t="s">
        <v>279</v>
      </c>
      <c r="L11" s="6"/>
      <c r="M11" s="6"/>
      <c r="N11" s="6"/>
      <c r="O11" s="6"/>
      <c r="P11" s="6"/>
      <c r="Q11" s="6"/>
      <c r="R11" s="6"/>
    </row>
    <row r="12" spans="2:20">
      <c r="B12" s="13">
        <f t="shared" si="1"/>
        <v>0.15898729492800001</v>
      </c>
      <c r="C12" s="14">
        <f t="shared" si="0"/>
        <v>11</v>
      </c>
      <c r="D12" s="25">
        <f>D14/42</f>
        <v>6.2898107704321049</v>
      </c>
      <c r="E12" s="1" t="s">
        <v>121</v>
      </c>
      <c r="F12" s="16" t="s">
        <v>122</v>
      </c>
      <c r="I12" s="6"/>
      <c r="J12" s="6"/>
      <c r="K12" s="6" t="s">
        <v>280</v>
      </c>
      <c r="L12" s="6"/>
      <c r="M12" s="6"/>
      <c r="N12" s="6"/>
      <c r="O12" s="6"/>
      <c r="P12" s="6"/>
      <c r="Q12" s="6"/>
      <c r="R12" s="6"/>
    </row>
    <row r="13" spans="2:20">
      <c r="B13" s="13">
        <f t="shared" si="1"/>
        <v>3.4068706056E-2</v>
      </c>
      <c r="C13" s="14">
        <f t="shared" si="0"/>
        <v>12</v>
      </c>
      <c r="D13" s="15">
        <f>D14/9</f>
        <v>29.35245026201649</v>
      </c>
      <c r="E13" s="1" t="s">
        <v>123</v>
      </c>
      <c r="F13" s="16" t="s">
        <v>124</v>
      </c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2:20">
      <c r="B14" s="26">
        <v>3.7854117840000001E-3</v>
      </c>
      <c r="C14" s="14">
        <f t="shared" si="0"/>
        <v>13</v>
      </c>
      <c r="D14" s="13">
        <f>1/B14</f>
        <v>264.17205235814839</v>
      </c>
      <c r="E14" s="1" t="s">
        <v>125</v>
      </c>
      <c r="F14" s="16" t="s">
        <v>126</v>
      </c>
      <c r="I14" s="134">
        <v>39048</v>
      </c>
      <c r="J14" s="6" t="s">
        <v>282</v>
      </c>
      <c r="K14" s="6" t="s">
        <v>281</v>
      </c>
      <c r="L14" s="6"/>
      <c r="M14" s="6"/>
      <c r="N14" s="6"/>
      <c r="O14" s="6"/>
      <c r="P14" s="6"/>
      <c r="Q14" s="6"/>
      <c r="R14" s="6"/>
    </row>
    <row r="15" spans="2:20">
      <c r="B15" s="13">
        <f t="shared" ref="B15:B26" si="2">1/D15</f>
        <v>9.4635294600000004E-4</v>
      </c>
      <c r="C15" s="14">
        <f t="shared" si="0"/>
        <v>14</v>
      </c>
      <c r="D15" s="15">
        <f>D14*4</f>
        <v>1056.6882094325936</v>
      </c>
      <c r="E15" s="1" t="s">
        <v>127</v>
      </c>
      <c r="F15" s="16" t="s">
        <v>128</v>
      </c>
    </row>
    <row r="16" spans="2:20">
      <c r="B16" s="13">
        <f t="shared" si="2"/>
        <v>4.7317647300000002E-4</v>
      </c>
      <c r="C16" s="14">
        <f t="shared" si="0"/>
        <v>15</v>
      </c>
      <c r="D16" s="15">
        <f>D14*8</f>
        <v>2113.3764188651871</v>
      </c>
      <c r="E16" s="1" t="s">
        <v>129</v>
      </c>
      <c r="F16" s="16" t="s">
        <v>130</v>
      </c>
    </row>
    <row r="17" spans="2:6">
      <c r="B17" s="13">
        <f t="shared" si="2"/>
        <v>2.3658823650000001E-4</v>
      </c>
      <c r="C17" s="14">
        <f t="shared" si="0"/>
        <v>16</v>
      </c>
      <c r="D17" s="15">
        <f>D14*16</f>
        <v>4226.7528377303743</v>
      </c>
      <c r="E17" s="1" t="s">
        <v>131</v>
      </c>
      <c r="F17" s="16" t="s">
        <v>132</v>
      </c>
    </row>
    <row r="18" spans="2:6">
      <c r="B18" s="13">
        <f t="shared" si="2"/>
        <v>2.9573529562500001E-5</v>
      </c>
      <c r="C18" s="14">
        <f t="shared" si="0"/>
        <v>17</v>
      </c>
      <c r="D18" s="15">
        <f>D14*128</f>
        <v>33814.022701842994</v>
      </c>
      <c r="E18" s="1" t="s">
        <v>133</v>
      </c>
      <c r="F18" s="16" t="s">
        <v>134</v>
      </c>
    </row>
    <row r="19" spans="2:6">
      <c r="B19" s="13">
        <f t="shared" si="2"/>
        <v>1.4786764781250001E-5</v>
      </c>
      <c r="C19" s="14">
        <f t="shared" si="0"/>
        <v>18</v>
      </c>
      <c r="D19" s="15">
        <f>D18*2</f>
        <v>67628.045403685988</v>
      </c>
      <c r="E19" s="1" t="s">
        <v>135</v>
      </c>
      <c r="F19" s="16" t="s">
        <v>136</v>
      </c>
    </row>
    <row r="20" spans="2:6">
      <c r="B20" s="13">
        <f t="shared" si="2"/>
        <v>4.9289215937500005E-6</v>
      </c>
      <c r="C20" s="14">
        <f t="shared" si="0"/>
        <v>19</v>
      </c>
      <c r="D20" s="19">
        <f>D19*3</f>
        <v>202884.13621105795</v>
      </c>
      <c r="E20" s="3" t="s">
        <v>137</v>
      </c>
      <c r="F20" s="20" t="s">
        <v>138</v>
      </c>
    </row>
    <row r="21" spans="2:6">
      <c r="B21" s="13">
        <f t="shared" si="2"/>
        <v>0.29094976</v>
      </c>
      <c r="C21" s="14">
        <f t="shared" si="0"/>
        <v>20</v>
      </c>
      <c r="D21" s="15">
        <f>D27/64</f>
        <v>3.4370195046732466</v>
      </c>
      <c r="E21" s="1" t="s">
        <v>139</v>
      </c>
      <c r="F21" s="16" t="s">
        <v>140</v>
      </c>
    </row>
    <row r="22" spans="2:6">
      <c r="B22" s="13">
        <f t="shared" si="2"/>
        <v>0.16365924000000001</v>
      </c>
      <c r="C22" s="14">
        <f t="shared" si="0"/>
        <v>21</v>
      </c>
      <c r="D22" s="15">
        <f>D27/36</f>
        <v>6.1102568971968827</v>
      </c>
      <c r="E22" s="1" t="s">
        <v>141</v>
      </c>
      <c r="F22" s="16" t="s">
        <v>142</v>
      </c>
    </row>
    <row r="23" spans="2:6">
      <c r="B23" s="13">
        <f t="shared" si="2"/>
        <v>0.10910616000000001</v>
      </c>
      <c r="C23" s="14">
        <f t="shared" si="0"/>
        <v>22</v>
      </c>
      <c r="D23" s="15">
        <f>D27/24</f>
        <v>9.1653853457953236</v>
      </c>
      <c r="E23" s="1" t="s">
        <v>143</v>
      </c>
      <c r="F23" s="16" t="s">
        <v>144</v>
      </c>
    </row>
    <row r="24" spans="2:6">
      <c r="B24" s="13">
        <f t="shared" si="2"/>
        <v>7.273744E-2</v>
      </c>
      <c r="C24" s="14">
        <f t="shared" si="0"/>
        <v>23</v>
      </c>
      <c r="D24" s="15">
        <f>D27/16</f>
        <v>13.748078018692986</v>
      </c>
      <c r="E24" s="1" t="s">
        <v>145</v>
      </c>
      <c r="F24" s="16" t="s">
        <v>146</v>
      </c>
    </row>
    <row r="25" spans="2:6">
      <c r="B25" s="13">
        <f t="shared" si="2"/>
        <v>4.0914810000000003E-2</v>
      </c>
      <c r="C25" s="14">
        <f t="shared" si="0"/>
        <v>24</v>
      </c>
      <c r="D25" s="15">
        <f>D27/9</f>
        <v>24.441027588787531</v>
      </c>
      <c r="E25" s="1" t="s">
        <v>147</v>
      </c>
      <c r="F25" s="16" t="s">
        <v>148</v>
      </c>
    </row>
    <row r="26" spans="2:6">
      <c r="B26" s="13">
        <f t="shared" si="2"/>
        <v>3.636872E-2</v>
      </c>
      <c r="C26" s="14">
        <f t="shared" si="0"/>
        <v>25</v>
      </c>
      <c r="D26" s="15">
        <f>D27/8</f>
        <v>27.496156037385973</v>
      </c>
      <c r="E26" s="1" t="s">
        <v>149</v>
      </c>
      <c r="F26" s="16" t="s">
        <v>150</v>
      </c>
    </row>
    <row r="27" spans="2:6">
      <c r="B27" s="17">
        <v>4.54609E-3</v>
      </c>
      <c r="C27" s="14">
        <f t="shared" si="0"/>
        <v>26</v>
      </c>
      <c r="D27" s="13">
        <f>1/B27</f>
        <v>219.96924829908778</v>
      </c>
      <c r="E27" s="1" t="s">
        <v>151</v>
      </c>
      <c r="F27" s="16" t="s">
        <v>152</v>
      </c>
    </row>
    <row r="28" spans="2:6">
      <c r="B28" s="29">
        <f t="shared" ref="B28:B37" si="3">1/D28</f>
        <v>1.1365225E-3</v>
      </c>
      <c r="C28" s="14">
        <f t="shared" si="0"/>
        <v>27</v>
      </c>
      <c r="D28" s="15">
        <f>D27*4</f>
        <v>879.87699319635112</v>
      </c>
      <c r="E28" s="1" t="s">
        <v>153</v>
      </c>
      <c r="F28" s="16" t="s">
        <v>154</v>
      </c>
    </row>
    <row r="29" spans="2:6">
      <c r="B29" s="29">
        <f t="shared" si="3"/>
        <v>5.6826125E-4</v>
      </c>
      <c r="C29" s="14">
        <f t="shared" si="0"/>
        <v>28</v>
      </c>
      <c r="D29" s="15">
        <f>D27*8</f>
        <v>1759.7539863927022</v>
      </c>
      <c r="E29" s="1" t="s">
        <v>155</v>
      </c>
      <c r="F29" s="16" t="s">
        <v>156</v>
      </c>
    </row>
    <row r="30" spans="2:6">
      <c r="B30" s="29">
        <f t="shared" si="3"/>
        <v>1.420653125E-4</v>
      </c>
      <c r="C30" s="14">
        <f t="shared" si="0"/>
        <v>29</v>
      </c>
      <c r="D30" s="15">
        <f>D27*32</f>
        <v>7039.015945570809</v>
      </c>
      <c r="E30" s="1" t="s">
        <v>157</v>
      </c>
      <c r="F30" s="16" t="s">
        <v>158</v>
      </c>
    </row>
    <row r="31" spans="2:6">
      <c r="B31" s="29">
        <f t="shared" si="3"/>
        <v>2.8413062500000005E-5</v>
      </c>
      <c r="C31" s="14">
        <f t="shared" si="0"/>
        <v>30</v>
      </c>
      <c r="D31" s="19">
        <f>D27*160</f>
        <v>35195.079727854041</v>
      </c>
      <c r="E31" s="3" t="s">
        <v>159</v>
      </c>
      <c r="F31" s="20" t="s">
        <v>160</v>
      </c>
    </row>
    <row r="32" spans="2:6">
      <c r="B32" s="29">
        <f t="shared" si="3"/>
        <v>3.5239069999999997E-2</v>
      </c>
      <c r="C32" s="14">
        <f t="shared" si="0"/>
        <v>31</v>
      </c>
      <c r="D32" s="30">
        <f>1/0.03523907</f>
        <v>28.377593392788178</v>
      </c>
      <c r="E32" s="1" t="s">
        <v>161</v>
      </c>
      <c r="F32" s="16" t="s">
        <v>162</v>
      </c>
    </row>
    <row r="33" spans="2:6">
      <c r="B33" s="29">
        <f t="shared" si="3"/>
        <v>8.8097674999999993E-3</v>
      </c>
      <c r="C33" s="14">
        <f t="shared" si="0"/>
        <v>32</v>
      </c>
      <c r="D33" s="27">
        <f>D32*4</f>
        <v>113.51037357115271</v>
      </c>
      <c r="E33" s="1" t="s">
        <v>163</v>
      </c>
      <c r="F33" s="16" t="s">
        <v>164</v>
      </c>
    </row>
    <row r="34" spans="2:6">
      <c r="B34" s="29">
        <f t="shared" si="3"/>
        <v>4.4048837499999997E-3</v>
      </c>
      <c r="C34" s="14">
        <f t="shared" si="0"/>
        <v>33</v>
      </c>
      <c r="D34" s="27">
        <f>D32*8</f>
        <v>227.02074714230542</v>
      </c>
      <c r="E34" s="1" t="s">
        <v>165</v>
      </c>
      <c r="F34" s="16" t="s">
        <v>166</v>
      </c>
    </row>
    <row r="35" spans="2:6">
      <c r="B35" s="29">
        <f t="shared" si="3"/>
        <v>1.1012209374999999E-3</v>
      </c>
      <c r="C35" s="14">
        <f t="shared" si="0"/>
        <v>34</v>
      </c>
      <c r="D35" s="15">
        <f>D34*4</f>
        <v>908.0829885692217</v>
      </c>
      <c r="E35" s="1" t="s">
        <v>167</v>
      </c>
      <c r="F35" s="16" t="s">
        <v>168</v>
      </c>
    </row>
    <row r="36" spans="2:6">
      <c r="B36" s="29">
        <f t="shared" si="3"/>
        <v>5.5061046874999996E-4</v>
      </c>
      <c r="C36" s="14">
        <f t="shared" si="0"/>
        <v>35</v>
      </c>
      <c r="D36" s="15">
        <f>D35*2</f>
        <v>1816.1659771384434</v>
      </c>
      <c r="E36" s="1" t="s">
        <v>169</v>
      </c>
      <c r="F36" s="16" t="s">
        <v>170</v>
      </c>
    </row>
    <row r="37" spans="2:6" ht="13.5" thickBot="1">
      <c r="B37" s="29">
        <f t="shared" si="3"/>
        <v>3.4413154296874997E-5</v>
      </c>
      <c r="C37" s="33">
        <f t="shared" si="0"/>
        <v>36</v>
      </c>
      <c r="D37" s="32">
        <f>D36*16</f>
        <v>29058.655634215094</v>
      </c>
      <c r="E37" s="28" t="s">
        <v>171</v>
      </c>
      <c r="F37" s="31" t="s">
        <v>172</v>
      </c>
    </row>
    <row r="38" spans="2:6" ht="13.5" thickBot="1">
      <c r="B38" s="1"/>
    </row>
    <row r="39" spans="2:6" ht="13.5" thickBot="1">
      <c r="B39" s="7" t="s">
        <v>173</v>
      </c>
      <c r="C39" s="8">
        <v>1</v>
      </c>
      <c r="D39" s="12">
        <v>1</v>
      </c>
      <c r="E39" s="10" t="s">
        <v>181</v>
      </c>
      <c r="F39" s="11" t="s">
        <v>174</v>
      </c>
    </row>
    <row r="40" spans="2:6">
      <c r="C40" s="14">
        <v>2</v>
      </c>
      <c r="D40" s="18">
        <v>60</v>
      </c>
      <c r="E40" s="1" t="s">
        <v>182</v>
      </c>
      <c r="F40" s="16" t="s">
        <v>175</v>
      </c>
    </row>
    <row r="41" spans="2:6">
      <c r="C41" s="14">
        <v>3</v>
      </c>
      <c r="D41" s="18">
        <v>3600</v>
      </c>
      <c r="E41" s="1" t="s">
        <v>183</v>
      </c>
      <c r="F41" s="16" t="s">
        <v>176</v>
      </c>
    </row>
    <row r="42" spans="2:6" ht="13.5" thickBot="1">
      <c r="C42" s="33">
        <v>4</v>
      </c>
      <c r="D42" s="34">
        <f>D41*24</f>
        <v>86400</v>
      </c>
      <c r="E42" s="28" t="s">
        <v>184</v>
      </c>
      <c r="F42" s="31" t="s">
        <v>177</v>
      </c>
    </row>
    <row r="44" spans="2:6">
      <c r="B44" s="1"/>
    </row>
    <row r="45" spans="2:6">
      <c r="B45" s="1"/>
    </row>
    <row r="46" spans="2:6">
      <c r="B46" s="1"/>
    </row>
    <row r="47" spans="2:6">
      <c r="B47" s="1"/>
    </row>
    <row r="48" spans="2:6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</sheetData>
  <phoneticPr fontId="1" type="noConversion"/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Drop Down 3">
              <controlPr defaultSize="0" autoLine="0" autoPict="0">
                <anchor moveWithCells="1">
                  <from>
                    <xdr:col>10</xdr:col>
                    <xdr:colOff>323850</xdr:colOff>
                    <xdr:row>7</xdr:row>
                    <xdr:rowOff>66675</xdr:rowOff>
                  </from>
                  <to>
                    <xdr:col>11</xdr:col>
                    <xdr:colOff>619125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nsia Kentico Document" ma:contentTypeID="0x010100CC22473C2D7C426DA9337489D94DAF930049A8DED8266C49F5A12CC1CBFF8FDA1400A72DD76C93164F9395A8113B3021C7F23100B871EF96EAED7342A5DC036FBCB0DEC1" ma:contentTypeVersion="190" ma:contentTypeDescription="" ma:contentTypeScope="" ma:versionID="d6079c89da7bfec4eb4b1da928957183">
  <xsd:schema xmlns:xsd="http://www.w3.org/2001/XMLSchema" xmlns:xs="http://www.w3.org/2001/XMLSchema" xmlns:p="http://schemas.microsoft.com/office/2006/metadata/properties" xmlns:ns2="6b294025-a453-472a-a0e2-9d3371e3365b" xmlns:ns3="309bfe98-f0d3-4111-94aa-9793b950be72" xmlns:ns4="{http://schemas.microsoft.com/sharepoint/v3" xmlns:ns5="1d18b121-9584-4fa6-9e37-d41db546bb37" targetNamespace="http://schemas.microsoft.com/office/2006/metadata/properties" ma:root="true" ma:fieldsID="b5f3f73c8159cc7a1ad3950a97ac8ca4" ns2:_="" ns3:_="" ns4:_="" ns5:_="">
    <xsd:import namespace="6b294025-a453-472a-a0e2-9d3371e3365b"/>
    <xsd:import namespace="309bfe98-f0d3-4111-94aa-9793b950be72"/>
    <xsd:import namespace="{http://schemas.microsoft.com/sharepoint/v3"/>
    <xsd:import namespace="1d18b121-9584-4fa6-9e37-d41db546bb37"/>
    <xsd:element name="properties">
      <xsd:complexType>
        <xsd:sequence>
          <xsd:element name="documentManagement">
            <xsd:complexType>
              <xsd:all>
                <xsd:element ref="ns2:MDCTitle" minOccurs="0"/>
                <xsd:element ref="ns2:MDCDispositionStatus" minOccurs="0"/>
                <xsd:element ref="ns2:MDCPublishedDate" minOccurs="0"/>
                <xsd:element ref="ns2:MDCPublishedVersionNumber" minOccurs="0"/>
                <xsd:element ref="ns2:MDCLastReviewDate" minOccurs="0"/>
                <xsd:element ref="ns2:MDCNextReviewDate" minOccurs="0"/>
                <xsd:element ref="ns2:MDCBusinessReference" minOccurs="0"/>
                <xsd:element ref="ns2:MercuryFeatured" minOccurs="0"/>
                <xsd:element ref="ns3:TaxCatchAllLabel" minOccurs="0"/>
                <xsd:element ref="ns3:c9ba1cf84df74e25b59a442c2e59c0a5" minOccurs="0"/>
                <xsd:element ref="ns3:i440c4a0d6944732895ccaadfe8b0651" minOccurs="0"/>
                <xsd:element ref="ns4:mbfb13c5f35a493f8d979d836205385f" minOccurs="0"/>
                <xsd:element ref="ns3:p204791eca594ce09965ca8c981124ab" minOccurs="0"/>
                <xsd:element ref="ns3:g0c0bb8341d147efad07ab9c6c1404c6" minOccurs="0"/>
                <xsd:element ref="ns3:TaxCatchAll" minOccurs="0"/>
                <xsd:element ref="ns2:_dlc_DocId" minOccurs="0"/>
                <xsd:element ref="ns2:_dlc_DocIdUrl" minOccurs="0"/>
                <xsd:element ref="ns2:_dlc_DocIdPersistId" minOccurs="0"/>
                <xsd:element ref="ns2:MDCKenticoAssetId" minOccurs="0"/>
                <xsd:element ref="ns3:j04d4ddab66a4b0bb79fc44e0d1aca27" minOccurs="0"/>
                <xsd:element ref="ns3:b63eade88a2942ae88f67d400dbad4b7" minOccurs="0"/>
                <xsd:element ref="ns5:MediaServiceMetadata" minOccurs="0"/>
                <xsd:element ref="ns5:MediaServiceFastMetadata" minOccurs="0"/>
                <xsd:element ref="ns3:ic0800b7b20347d790beb16bc8ac109b" minOccurs="0"/>
                <xsd:element ref="ns3:MDCTargetPlatformChoice" minOccurs="0"/>
                <xsd:element ref="ns5:_Flow_SignoffStatus" minOccurs="0"/>
                <xsd:element ref="ns3:TestKenticoAssetId" minOccurs="0"/>
                <xsd:element ref="ns5:MediaServiceObjectDetectorVersions" minOccurs="0"/>
                <xsd:element ref="ns5:MediaServiceSearchPropertie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94025-a453-472a-a0e2-9d3371e3365b" elementFormDefault="qualified">
    <xsd:import namespace="http://schemas.microsoft.com/office/2006/documentManagement/types"/>
    <xsd:import namespace="http://schemas.microsoft.com/office/infopath/2007/PartnerControls"/>
    <xsd:element name="MDCTitle" ma:index="1" nillable="true" ma:displayName="Document Title" ma:internalName="MDCTitle" ma:readOnly="false">
      <xsd:simpleType>
        <xsd:restriction base="dms:Text"/>
      </xsd:simpleType>
    </xsd:element>
    <xsd:element name="MDCDispositionStatus" ma:index="7" nillable="true" ma:displayName="Disposition Status" ma:default="Active" ma:format="Dropdown" ma:internalName="MDCDispositionStatus" ma:readOnly="false">
      <xsd:simpleType>
        <xsd:restriction base="dms:Choice">
          <xsd:enumeration value="Active"/>
          <xsd:enumeration value="Archived"/>
          <xsd:enumeration value="Cancelled"/>
          <xsd:enumeration value="Record created"/>
        </xsd:restriction>
      </xsd:simpleType>
    </xsd:element>
    <xsd:element name="MDCPublishedDate" ma:index="8" nillable="true" ma:displayName="Published Date" ma:default="[today]" ma:format="DateOnly" ma:internalName="MDCPublishedDate" ma:readOnly="false">
      <xsd:simpleType>
        <xsd:restriction base="dms:DateTime"/>
      </xsd:simpleType>
    </xsd:element>
    <xsd:element name="MDCPublishedVersionNumber" ma:index="9" nillable="true" ma:displayName="Published Version Number" ma:internalName="MDCPublishedVersionNumber" ma:readOnly="false">
      <xsd:simpleType>
        <xsd:restriction base="dms:Number"/>
      </xsd:simpleType>
    </xsd:element>
    <xsd:element name="MDCLastReviewDate" ma:index="10" nillable="true" ma:displayName="Last Review Date" ma:default="[today]" ma:format="DateOnly" ma:internalName="MDCLastReviewDate" ma:readOnly="false">
      <xsd:simpleType>
        <xsd:restriction base="dms:DateTime"/>
      </xsd:simpleType>
    </xsd:element>
    <xsd:element name="MDCNextReviewDate" ma:index="11" nillable="true" ma:displayName="Next Review Date" ma:default="[today]" ma:format="DateOnly" ma:internalName="MDCNextReviewDate" ma:readOnly="false">
      <xsd:simpleType>
        <xsd:restriction base="dms:DateTime"/>
      </xsd:simpleType>
    </xsd:element>
    <xsd:element name="MDCBusinessReference" ma:index="13" nillable="true" ma:displayName="Business Reference" ma:internalName="MDCBusinessReference" ma:readOnly="false">
      <xsd:simpleType>
        <xsd:restriction base="dms:Text"/>
      </xsd:simpleType>
    </xsd:element>
    <xsd:element name="MercuryFeatured" ma:index="14" nillable="true" ma:displayName="Featured" ma:default="0" ma:internalName="MercuryFeatured" ma:readOnly="false">
      <xsd:simpleType>
        <xsd:restriction base="dms:Boolean"/>
      </xsd:simpleType>
    </xsd:element>
    <xsd:element name="_dlc_DocId" ma:index="29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MDCKenticoAssetId" ma:index="32" nillable="true" ma:displayName="Prod Kentico Asset Id" ma:internalName="MDCKenticoAsse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bfe98-f0d3-4111-94aa-9793b950be72" elementFormDefault="qualified">
    <xsd:import namespace="http://schemas.microsoft.com/office/2006/documentManagement/types"/>
    <xsd:import namespace="http://schemas.microsoft.com/office/infopath/2007/PartnerControls"/>
    <xsd:element name="TaxCatchAllLabel" ma:index="17" nillable="true" ma:displayName="Taxonomy Catch All Column1" ma:hidden="true" ma:list="{a6a8fdce-f0db-47d1-a353-563942a14428}" ma:internalName="TaxCatchAllLabel" ma:readOnly="false" ma:showField="CatchAllDataLabel" ma:web="309bfe98-f0d3-4111-94aa-9793b950be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9ba1cf84df74e25b59a442c2e59c0a5" ma:index="18" nillable="true" ma:taxonomy="true" ma:internalName="c9ba1cf84df74e25b59a442c2e59c0a5" ma:taxonomyFieldName="MDCSecurityClassification" ma:displayName="Security Classification" ma:readOnly="false" ma:default="" ma:fieldId="{c9ba1cf8-4df7-4e25-b59a-442c2e59c0a5}" ma:sspId="bb58eab5-2d9d-4912-b594-fb567671a565" ma:termSetId="fb927733-b6fc-4e3f-a424-e2818f88e4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440c4a0d6944732895ccaadfe8b0651" ma:index="19" nillable="true" ma:taxonomy="true" ma:internalName="i440c4a0d6944732895ccaadfe8b0651" ma:taxonomyFieldName="MDCDepartment" ma:displayName="BusinessUnit &amp; Function" ma:readOnly="false" ma:default="" ma:fieldId="{2440c4a0-d694-4732-895c-caadfe8b0651}" ma:taxonomyMulti="true" ma:sspId="bb58eab5-2d9d-4912-b594-fb567671a565" ma:termSetId="8ac67594-08b2-44d2-b976-6667ae360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204791eca594ce09965ca8c981124ab" ma:index="24" nillable="true" ma:taxonomy="true" ma:internalName="p204791eca594ce09965ca8c981124ab" ma:taxonomyFieldName="MDCAssetType" ma:displayName="Asset Type" ma:readOnly="false" ma:default="" ma:fieldId="{9204791e-ca59-4ce0-9965-ca8c981124ab}" ma:taxonomyMulti="true" ma:sspId="bb58eab5-2d9d-4912-b594-fb567671a565" ma:termSetId="76612492-5102-43d7-9268-f0329222b91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0c0bb8341d147efad07ab9c6c1404c6" ma:index="26" nillable="true" ma:taxonomy="true" ma:internalName="g0c0bb8341d147efad07ab9c6c1404c6" ma:taxonomyFieldName="MDCProductName" ma:displayName="Product Name" ma:readOnly="false" ma:default="" ma:fieldId="{00c0bb83-41d1-47ef-ad07-ab9c6c1404c6}" ma:taxonomyMulti="true" ma:sspId="bb58eab5-2d9d-4912-b594-fb567671a565" ma:termSetId="ea00b774-1638-4f5a-8a20-2e1c7821779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7" nillable="true" ma:displayName="Taxonomy Catch All Column" ma:hidden="true" ma:list="{a6a8fdce-f0db-47d1-a353-563942a14428}" ma:internalName="TaxCatchAll" ma:readOnly="false" ma:showField="CatchAllData" ma:web="309bfe98-f0d3-4111-94aa-9793b950be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04d4ddab66a4b0bb79fc44e0d1aca27" ma:index="33" nillable="true" ma:taxonomy="true" ma:internalName="j04d4ddab66a4b0bb79fc44e0d1aca27" ma:taxonomyFieldName="MDCDocumentType" ma:displayName="Document Type" ma:readOnly="false" ma:default="" ma:fieldId="{304d4dda-b66a-4b0b-b79f-c44e0d1aca27}" ma:sspId="bb58eab5-2d9d-4912-b594-fb567671a565" ma:termSetId="22ee48f8-aeaa-4436-a599-33680df47e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63eade88a2942ae88f67d400dbad4b7" ma:index="34" nillable="true" ma:taxonomy="true" ma:internalName="b63eade88a2942ae88f67d400dbad4b7" ma:taxonomyFieldName="MDCProductBrand" ma:displayName="Product Brand" ma:readOnly="false" ma:default="" ma:fieldId="{b63eade8-8a29-42ae-88f6-7d400dbad4b7}" ma:sspId="bb58eab5-2d9d-4912-b594-fb567671a565" ma:termSetId="66c150f5-9100-41c2-8277-4429c53335f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0800b7b20347d790beb16bc8ac109b" ma:index="38" nillable="true" ma:taxonomy="true" ma:internalName="ic0800b7b20347d790beb16bc8ac109b" ma:taxonomyFieldName="MDCCountry" ma:displayName="Country" ma:readOnly="false" ma:default="" ma:fieldId="{2c0800b7-b203-47d7-90be-b16bc8ac109b}" ma:taxonomyMulti="true" ma:sspId="bb58eab5-2d9d-4912-b594-fb567671a565" ma:termSetId="eb748ee9-7548-4f3f-b40c-4cd12e54d63f" ma:anchorId="fcfa69a2-302c-442a-9370-22ec20358c27" ma:open="false" ma:isKeyword="false">
      <xsd:complexType>
        <xsd:sequence>
          <xsd:element ref="pc:Terms" minOccurs="0" maxOccurs="1"/>
        </xsd:sequence>
      </xsd:complexType>
    </xsd:element>
    <xsd:element name="MDCTargetPlatformChoice" ma:index="40" nillable="true" ma:displayName="Target" ma:format="Dropdown" ma:internalName="MDCTargetPlatformChoice">
      <xsd:simpleType>
        <xsd:restriction base="dms:Choice">
          <xsd:enumeration value="Distributor Portal"/>
          <xsd:enumeration value="Website and Portal"/>
          <xsd:enumeration value="Website Only"/>
        </xsd:restriction>
      </xsd:simpleType>
    </xsd:element>
    <xsd:element name="TestKenticoAssetId" ma:index="42" nillable="true" ma:displayName="Test Kentico Asset Id" ma:internalName="TestKenticoAsse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{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mbfb13c5f35a493f8d979d836205385f" ma:index="21" nillable="true" ma:taxonomy="true" ma:internalName="mbfb13c5f35a493f8d979d836205385f" ma:taxonomyFieldName="MercuryCategory" ma:displayName="Category" ma:readOnly="false" ma:default="" ma:fieldId="{6bfb13c5-f35a-493f-8d97-9d836205385f}" ma:taxonomyMulti="true" ma:sspId="bb58eab5-2d9d-4912-b594-fb567671a565" ma:termSetId="22ee48f8-aeaa-4436-a599-33680df47e1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8b121-9584-4fa6-9e37-d41db546b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7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41" nillable="true" ma:displayName="Sign-off status" ma:internalName="Sign_x002d_off_x0020_status">
      <xsd:simpleType>
        <xsd:restriction base="dms:Text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4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4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4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6b294025-a453-472a-a0e2-9d3371e3365b" xsi:nil="true"/>
    <TaxCatchAll xmlns="309bfe98-f0d3-4111-94aa-9793b950be72">
      <Value>202</Value>
      <Value>231</Value>
      <Value>217</Value>
      <Value>418</Value>
      <Value>417</Value>
      <Value>319</Value>
      <Value>160</Value>
      <Value>246</Value>
      <Value>200</Value>
      <Value>276</Value>
      <Value>275</Value>
      <Value>257</Value>
    </TaxCatchAll>
    <MDCTargetPlatformChoice xmlns="309bfe98-f0d3-4111-94aa-9793b950be72">Website and Portal</MDCTargetPlatformChoice>
    <MDCTitle xmlns="6b294025-a453-472a-a0e2-9d3371e3365b">Guide for scaling legacy MC-II with calibration jumpers</MDCTitle>
    <TaxCatchAllLabel xmlns="309bfe98-f0d3-4111-94aa-9793b950be72" xsi:nil="true"/>
    <g0c0bb8341d147efad07ab9c6c1404c6 xmlns="309bfe98-f0d3-4111-94aa-9793b950be72">
      <Terms xmlns="http://schemas.microsoft.com/office/infopath/2007/PartnerControls">
        <TermInfo xmlns="http://schemas.microsoft.com/office/infopath/2007/PartnerControls">
          <TermName xmlns="http://schemas.microsoft.com/office/infopath/2007/PartnerControls">Turbine Flow Totalizers:All Sublines:NUFLO Local Reading Totalizers</TermName>
          <TermId xmlns="http://schemas.microsoft.com/office/infopath/2007/PartnerControls">133c29cf-269c-43f9-932d-ffe8ae3555a0</TermId>
        </TermInfo>
      </Terms>
    </g0c0bb8341d147efad07ab9c6c1404c6>
    <j04d4ddab66a4b0bb79fc44e0d1aca27 xmlns="309bfe98-f0d3-4111-94aa-9793b950be7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Calculation tool</TermName>
          <TermId xmlns="http://schemas.microsoft.com/office/infopath/2007/PartnerControls">0d6c5138-574a-41e5-8b9c-3a1a59940cad</TermId>
        </TermInfo>
      </Terms>
    </j04d4ddab66a4b0bb79fc44e0d1aca27>
    <_dlc_DocId xmlns="6b294025-a453-472a-a0e2-9d3371e3365b" xsi:nil="true"/>
    <MDCPublishedDate xmlns="6b294025-a453-472a-a0e2-9d3371e3365b">2021-06-10T11:26:57+00:00</MDCPublishedDate>
    <MDCNextReviewDate xmlns="6b294025-a453-472a-a0e2-9d3371e3365b">2021-06-10T11:26:57+00:00</MDCNextReviewDate>
    <_dlc_DocIdUrl xmlns="6b294025-a453-472a-a0e2-9d3371e3365b">
      <Url xsi:nil="true"/>
      <Description xsi:nil="true"/>
    </_dlc_DocIdUrl>
    <MDCBusinessReference xmlns="6b294025-a453-472a-a0e2-9d3371e3365b">Not Applicable</MDCBusinessReference>
    <MDCKenticoAssetId xmlns="6b294025-a453-472a-a0e2-9d3371e3365b">95c93e32-e00d-4802-84c6-fd626745dbde</MDCKenticoAssetId>
    <MDCDispositionStatus xmlns="6b294025-a453-472a-a0e2-9d3371e3365b">Active</MDCDispositionStatus>
    <MercuryFeatured xmlns="6b294025-a453-472a-a0e2-9d3371e3365b">false</MercuryFeatured>
    <p204791eca594ce09965ca8c981124ab xmlns="309bfe98-f0d3-4111-94aa-9793b950be72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Calculation tools:Calculation tool</TermName>
          <TermId xmlns="http://schemas.microsoft.com/office/infopath/2007/PartnerControls">0d6c5138-574a-41e5-8b9c-3a1a59940cad</TermId>
        </TermInfo>
      </Terms>
    </p204791eca594ce09965ca8c981124ab>
    <MDCLastReviewDate xmlns="6b294025-a453-472a-a0e2-9d3371e3365b">2021-06-10T11:26:57+00:00</MDCLastReviewDate>
    <MDCPublishedVersionNumber xmlns="6b294025-a453-472a-a0e2-9d3371e3365b">1</MDCPublishedVersionNumber>
    <b63eade88a2942ae88f67d400dbad4b7 xmlns="309bfe98-f0d3-4111-94aa-9793b950be72">
      <Terms xmlns="http://schemas.microsoft.com/office/infopath/2007/PartnerControls">
        <TermInfo xmlns="http://schemas.microsoft.com/office/infopath/2007/PartnerControls">
          <TermName xmlns="http://schemas.microsoft.com/office/infopath/2007/PartnerControls">NUFLO</TermName>
          <TermId xmlns="http://schemas.microsoft.com/office/infopath/2007/PartnerControls">87224c0b-7646-4192-8f5d-3cdd9767acee</TermId>
        </TermInfo>
      </Terms>
    </b63eade88a2942ae88f67d400dbad4b7>
    <c9ba1cf84df74e25b59a442c2e59c0a5 xmlns="309bfe98-f0d3-4111-94aa-9793b950be72">
      <Terms xmlns="http://schemas.microsoft.com/office/infopath/2007/PartnerControls"/>
    </c9ba1cf84df74e25b59a442c2e59c0a5>
    <i440c4a0d6944732895ccaadfe8b0651 xmlns="309bfe98-f0d3-4111-94aa-9793b950be72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</TermName>
          <TermId xmlns="http://schemas.microsoft.com/office/infopath/2007/PartnerControls">5c1015fd-6d02-4a1b-8ab5-2141f863ce04</TermId>
        </TermInfo>
      </Terms>
    </i440c4a0d6944732895ccaadfe8b0651>
    <ic0800b7b20347d790beb16bc8ac109b xmlns="309bfe98-f0d3-4111-94aa-9793b950be7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APAC</TermName>
          <TermId xmlns="http://schemas.microsoft.com/office/infopath/2007/PartnerControls">f74a0bbb-e118-4437-b4e1-8c2ddee44564</TermId>
        </TermInfo>
        <TermInfo xmlns="http://schemas.microsoft.com/office/infopath/2007/PartnerControls">
          <TermName xmlns="http://schemas.microsoft.com/office/infopath/2007/PartnerControls"> EMEA</TermName>
          <TermId xmlns="http://schemas.microsoft.com/office/infopath/2007/PartnerControls">519a2aa5-8780-41fd-982b-6f2cb6a3ac7c</TermId>
        </TermInfo>
        <TermInfo xmlns="http://schemas.microsoft.com/office/infopath/2007/PartnerControls">
          <TermName xmlns="http://schemas.microsoft.com/office/infopath/2007/PartnerControls"> LA</TermName>
          <TermId xmlns="http://schemas.microsoft.com/office/infopath/2007/PartnerControls">f0d1f2be-4cdd-464e-831c-bc14df9098e7</TermId>
        </TermInfo>
        <TermInfo xmlns="http://schemas.microsoft.com/office/infopath/2007/PartnerControls">
          <TermName xmlns="http://schemas.microsoft.com/office/infopath/2007/PartnerControls"> NA-CA</TermName>
          <TermId xmlns="http://schemas.microsoft.com/office/infopath/2007/PartnerControls">ac898e5a-7b00-4f3e-8955-30c52e721171</TermId>
        </TermInfo>
        <TermInfo xmlns="http://schemas.microsoft.com/office/infopath/2007/PartnerControls">
          <TermName xmlns="http://schemas.microsoft.com/office/infopath/2007/PartnerControls"> NA-US</TermName>
          <TermId xmlns="http://schemas.microsoft.com/office/infopath/2007/PartnerControls">c0a895ed-23dc-441a-b38b-4cd4f1b13d99</TermId>
        </TermInfo>
      </Terms>
    </ic0800b7b20347d790beb16bc8ac109b>
    <_Flow_SignoffStatus xmlns="1d18b121-9584-4fa6-9e37-d41db546bb37" xsi:nil="true"/>
    <TestKenticoAssetId xmlns="309bfe98-f0d3-4111-94aa-9793b950be72">85694981-0010-4bc2-b1ce-7c66b5e835ce</TestKenticoAssetId>
    <mbfb13c5f35a493f8d979d836205385f xmlns="{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Website</TermName>
          <TermId xmlns="http://schemas.microsoft.com/office/infopath/2007/PartnerControls">8d3a7508-47b1-48a8-98cc-baf0655445b4</TermId>
        </TermInfo>
        <TermInfo xmlns="http://schemas.microsoft.com/office/infopath/2007/PartnerControls">
          <TermName xmlns="http://schemas.microsoft.com/office/infopath/2007/PartnerControls">Portal</TermName>
          <TermId xmlns="http://schemas.microsoft.com/office/infopath/2007/PartnerControls">423ab846-7741-4001-b892-c549ac7ca35a</TermId>
        </TermInfo>
      </Terms>
    </mbfb13c5f35a493f8d979d836205385f>
  </documentManagement>
</p:properties>
</file>

<file path=customXml/itemProps1.xml><?xml version="1.0" encoding="utf-8"?>
<ds:datastoreItem xmlns:ds="http://schemas.openxmlformats.org/officeDocument/2006/customXml" ds:itemID="{85F97EB5-59D8-4287-BD25-1C99042DC8C3}"/>
</file>

<file path=customXml/itemProps2.xml><?xml version="1.0" encoding="utf-8"?>
<ds:datastoreItem xmlns:ds="http://schemas.openxmlformats.org/officeDocument/2006/customXml" ds:itemID="{3D31CA03-D20F-4600-86BA-073EC4DD2209}"/>
</file>

<file path=customXml/itemProps3.xml><?xml version="1.0" encoding="utf-8"?>
<ds:datastoreItem xmlns:ds="http://schemas.openxmlformats.org/officeDocument/2006/customXml" ds:itemID="{C076835A-7A04-4766-B4A4-2B7E5DB445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faceplate</vt:lpstr>
      <vt:lpstr>Old vs New</vt:lpstr>
      <vt:lpstr>old MCII ONC on</vt:lpstr>
      <vt:lpstr>old MCII ONC off</vt:lpstr>
      <vt:lpstr>new MCII</vt:lpstr>
      <vt:lpstr>tables</vt:lpstr>
      <vt:lpstr>time</vt:lpstr>
      <vt:lpstr>time_list</vt:lpstr>
      <vt:lpstr>time_to</vt:lpstr>
      <vt:lpstr>volume</vt:lpstr>
      <vt:lpstr>volume_from</vt:lpstr>
      <vt:lpstr>volume_list</vt:lpstr>
      <vt:lpstr>volume_to</vt:lpstr>
    </vt:vector>
  </TitlesOfParts>
  <Company>Barton Instrument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Gerry</dc:creator>
  <cp:lastModifiedBy>Anonymous</cp:lastModifiedBy>
  <cp:lastPrinted>2006-11-27T16:33:16Z</cp:lastPrinted>
  <dcterms:created xsi:type="dcterms:W3CDTF">2005-02-08T22:21:38Z</dcterms:created>
  <dcterms:modified xsi:type="dcterms:W3CDTF">2015-04-17T18:10:32Z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0x010100CC22473C2D7C426DA9337489D94DAF930049A8DED8266C49F5A12CC1CBFF8FDA1400A72DD76C93164F9395A8113B3021C7F23100B871EF96EAED7342A5DC036FBCB0DEC1</vt:lpwstr>
  </property>
  <property fmtid="{D5CDD505-2E9C-101B-9397-08002B2CF9AE}" pid="3" name="MDCDocumentType">
    <vt:lpwstr>417;#Calculation tool|0d6c5138-574a-41e5-8b9c-3a1a59940cad</vt:lpwstr>
  </property>
  <property fmtid="{D5CDD505-2E9C-101B-9397-08002B2CF9AE}" pid="4" name="MDCAssetType">
    <vt:lpwstr>418;#Calculation tools:Calculation tool|0d6c5138-574a-41e5-8b9c-3a1a59940cad</vt:lpwstr>
  </property>
  <property fmtid="{D5CDD505-2E9C-101B-9397-08002B2CF9AE}" pid="5" name="MDCCountry">
    <vt:lpwstr>200;#APAC|f74a0bbb-e118-4437-b4e1-8c2ddee44564;#231;# EMEA|519a2aa5-8780-41fd-982b-6f2cb6a3ac7c;#275;# LA|f0d1f2be-4cdd-464e-831c-bc14df9098e7;#202;# NA-CA|ac898e5a-7b00-4f3e-8955-30c52e721171;#276;# NA-US|c0a895ed-23dc-441a-b38b-4cd4f1b13d99</vt:lpwstr>
  </property>
  <property fmtid="{D5CDD505-2E9C-101B-9397-08002B2CF9AE}" pid="6" name="MercuryCategory">
    <vt:lpwstr>217;#Website|8d3a7508-47b1-48a8-98cc-baf0655445b4;#257;#Portal|423ab846-7741-4001-b892-c549ac7ca35a</vt:lpwstr>
  </property>
  <property fmtid="{D5CDD505-2E9C-101B-9397-08002B2CF9AE}" pid="7" name="MDCSecurityClassification">
    <vt:lpwstr/>
  </property>
  <property fmtid="{D5CDD505-2E9C-101B-9397-08002B2CF9AE}" pid="8" name="MDCProductName">
    <vt:lpwstr>319;#Turbine Flow Totalizers:All Sublines:NUFLO Local Reading Totalizers|133c29cf-269c-43f9-932d-ffe8ae3555a0</vt:lpwstr>
  </property>
  <property fmtid="{D5CDD505-2E9C-101B-9397-08002B2CF9AE}" pid="9" name="MDCDepartment">
    <vt:lpwstr>160;#Marketing|5c1015fd-6d02-4a1b-8ab5-2141f863ce04</vt:lpwstr>
  </property>
  <property fmtid="{D5CDD505-2E9C-101B-9397-08002B2CF9AE}" pid="10" name="MDCProductBrand">
    <vt:lpwstr>246;#NUFLO|87224c0b-7646-4192-8f5d-3cdd9767acee</vt:lpwstr>
  </property>
  <property fmtid="{D5CDD505-2E9C-101B-9397-08002B2CF9AE}" pid="11" name="i440c4a0d6944732895ccaadfe8b0651">
    <vt:lpwstr>Marketing|5c1015fd-6d02-4a1b-8ab5-2141f863ce04</vt:lpwstr>
  </property>
  <property fmtid="{D5CDD505-2E9C-101B-9397-08002B2CF9AE}" pid="12" name="c9ba1cf84df74e25b59a442c2e59c0a5">
    <vt:lpwstr>Internal|2b41dbf9-22b9-43e7-b47f-1a90589ff896</vt:lpwstr>
  </property>
  <property fmtid="{D5CDD505-2E9C-101B-9397-08002B2CF9AE}" pid="13" name="mbfb13c5f35a493f8d979d836205385f">
    <vt:lpwstr>Website|8d3a7508-47b1-48a8-98cc-baf0655445b4;Portal|423ab846-7741-4001-b892-c549ac7ca35a</vt:lpwstr>
  </property>
  <property fmtid="{D5CDD505-2E9C-101B-9397-08002B2CF9AE}" pid="14" name="MDCRegisterWithKentico">
    <vt:bool>true</vt:bool>
  </property>
  <property fmtid="{D5CDD505-2E9C-101B-9397-08002B2CF9AE}" pid="15" name="MDCAutoPublish">
    <vt:bool>false</vt:bool>
  </property>
  <property fmtid="{D5CDD505-2E9C-101B-9397-08002B2CF9AE}" pid="16" name="MDCPublishedURL">
    <vt:lpwstr>https://sensiaglobal.sharepoint.com/sites/doccentrumpd/PublishedDocuments/nuflo-mcii-programming.xlsx, https://sensiaglobal.sharepoint.com/sites/doccentrumpd/PublishedDocuments/nuflo-mcii-programming.xlsx</vt:lpwstr>
  </property>
  <property fmtid="{D5CDD505-2E9C-101B-9397-08002B2CF9AE}" pid="17" name="xd_ProgID">
    <vt:lpwstr/>
  </property>
  <property fmtid="{D5CDD505-2E9C-101B-9397-08002B2CF9AE}" pid="18" name="_SourceUrl">
    <vt:lpwstr/>
  </property>
  <property fmtid="{D5CDD505-2E9C-101B-9397-08002B2CF9AE}" pid="19" name="_SharedFileIndex">
    <vt:lpwstr/>
  </property>
  <property fmtid="{D5CDD505-2E9C-101B-9397-08002B2CF9AE}" pid="20" name="MDCPublishedStatus">
    <vt:lpwstr>Publishing</vt:lpwstr>
  </property>
  <property fmtid="{D5CDD505-2E9C-101B-9397-08002B2CF9AE}" pid="21" name="MDCKenticoPublishTarget">
    <vt:lpwstr>1</vt:lpwstr>
  </property>
  <property fmtid="{D5CDD505-2E9C-101B-9397-08002B2CF9AE}" pid="22" name="ComplianceAssetId">
    <vt:lpwstr/>
  </property>
  <property fmtid="{D5CDD505-2E9C-101B-9397-08002B2CF9AE}" pid="23" name="TemplateUrl">
    <vt:lpwstr/>
  </property>
  <property fmtid="{D5CDD505-2E9C-101B-9397-08002B2CF9AE}" pid="24" name="MDCKenticoStatus1">
    <vt:lpwstr>Asset Successfully Processed</vt:lpwstr>
  </property>
  <property fmtid="{D5CDD505-2E9C-101B-9397-08002B2CF9AE}" pid="25" name="MDCMarketingDocumentApprover">
    <vt:lpwstr>Marketing Approver</vt:lpwstr>
  </property>
  <property fmtid="{D5CDD505-2E9C-101B-9397-08002B2CF9AE}" pid="26" name="MDCKenticoDocumentOwner">
    <vt:lpwstr>123;#Donald Hammill</vt:lpwstr>
  </property>
  <property fmtid="{D5CDD505-2E9C-101B-9397-08002B2CF9AE}" pid="27" name="MDCPublishAsPDF">
    <vt:bool>false</vt:bool>
  </property>
  <property fmtid="{D5CDD505-2E9C-101B-9397-08002B2CF9AE}" pid="28" name="la82795a484c418eaa48c9c99fd75064">
    <vt:lpwstr>APAC|f74a0bbb-e118-4437-b4e1-8c2ddee44564; EMEA|519a2aa5-8780-41fd-982b-6f2cb6a3ac7c; LA|f0d1f2be-4cdd-464e-831c-bc14df9098e7; NA-CA|ac898e5a-7b00-4f3e-8955-30c52e721171; NA-US|c0a895ed-23dc-441a-b38b-4cd4f1b13d99</vt:lpwstr>
  </property>
  <property fmtid="{D5CDD505-2E9C-101B-9397-08002B2CF9AE}" pid="29" name="MDCTestKenticoAssetId">
    <vt:lpwstr>dc84239b-a18f-42c2-b564-d1a560a80032</vt:lpwstr>
  </property>
  <property fmtid="{D5CDD505-2E9C-101B-9397-08002B2CF9AE}" pid="30" name="MDCWorkflowActions">
    <vt:lpwstr>Off</vt:lpwstr>
  </property>
  <property fmtid="{D5CDD505-2E9C-101B-9397-08002B2CF9AE}" pid="31" name="MDCDocumentStatus">
    <vt:lpwstr>No Missing Data</vt:lpwstr>
  </property>
  <property fmtid="{D5CDD505-2E9C-101B-9397-08002B2CF9AE}" pid="32" name="TriggerFlowInfo">
    <vt:lpwstr/>
  </property>
  <property fmtid="{D5CDD505-2E9C-101B-9397-08002B2CF9AE}" pid="33" name="MDCKenticoContentOwner">
    <vt:lpwstr>123;#Donald Hammill</vt:lpwstr>
  </property>
  <property fmtid="{D5CDD505-2E9C-101B-9397-08002B2CF9AE}" pid="34" name="db3856d294fa472780e71d779d21d384">
    <vt:lpwstr>NUFLO|87224c0b-7646-4192-8f5d-3cdd9767acee</vt:lpwstr>
  </property>
  <property fmtid="{D5CDD505-2E9C-101B-9397-08002B2CF9AE}" pid="35" name="tempstatus">
    <vt:lpwstr>Republish</vt:lpwstr>
  </property>
  <property fmtid="{D5CDD505-2E9C-101B-9397-08002B2CF9AE}" pid="36" name="MDCPublishedDocumentId">
    <vt:r8>4547</vt:r8>
  </property>
  <property fmtid="{D5CDD505-2E9C-101B-9397-08002B2CF9AE}" pid="37" name="xd_Signature">
    <vt:bool>false</vt:bool>
  </property>
  <property fmtid="{D5CDD505-2E9C-101B-9397-08002B2CF9AE}" pid="38" name="MDCAssetGroup">
    <vt:lpwstr/>
  </property>
  <property fmtid="{D5CDD505-2E9C-101B-9397-08002B2CF9AE}" pid="39" name="jc8ea85d14af4521a0ab3c2ea13bf4b0">
    <vt:lpwstr/>
  </property>
  <property fmtid="{D5CDD505-2E9C-101B-9397-08002B2CF9AE}" pid="40" name="_ExtendedDescription">
    <vt:lpwstr>dc84239b-a18f-42c2-b564-d1a560a80032</vt:lpwstr>
  </property>
</Properties>
</file>